
<file path=[Content_Types].xml><?xml version="1.0" encoding="utf-8"?>
<Types xmlns="http://schemas.openxmlformats.org/package/2006/content-types">
  <Default Extension="bin" ContentType="application/vnd.openxmlformats-officedocument.spreadsheetml.printerSettings"/>
  <Default Extension="emf" ContentType="image/x-emf"/>
  <Default Extension="gif" ContentType="image/gi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drawings/drawing2.xml" ContentType="application/vnd.openxmlformats-officedocument.drawing+xml"/>
  <Override PartName="/xl/embeddings/oleObject2.bin" ContentType="application/vnd.openxmlformats-officedocument.oleObject"/>
  <Override PartName="/xl/comments1.xml" ContentType="application/vnd.openxmlformats-officedocument.spreadsheetml.comments+xml"/>
  <Override PartName="/xl/threadedComments/threadedComment1.xml" ContentType="application/vnd.ms-excel.threadedcomments+xml"/>
  <Override PartName="/xl/drawings/drawing3.xml" ContentType="application/vnd.openxmlformats-officedocument.drawing+xml"/>
  <Override PartName="/xl/drawings/drawing4.xml" ContentType="application/vnd.openxmlformats-officedocument.drawing+xml"/>
  <Override PartName="/xl/embeddings/oleObject3.bin" ContentType="application/vnd.openxmlformats-officedocument.oleObject"/>
  <Override PartName="/xl/drawings/drawing5.xml" ContentType="application/vnd.openxmlformats-officedocument.drawing+xml"/>
  <Override PartName="/xl/embeddings/oleObject4.bin" ContentType="application/vnd.openxmlformats-officedocument.oleObject"/>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showInkAnnotation="0" codeName="ThisWorkbook" autoCompressPictures="0"/>
  <mc:AlternateContent xmlns:mc="http://schemas.openxmlformats.org/markup-compatibility/2006">
    <mc:Choice Requires="x15">
      <x15ac:absPath xmlns:x15ac="http://schemas.microsoft.com/office/spreadsheetml/2010/11/ac" url="https://bramblesgroup-my.sharepoint.com/personal/hugo_mocquard_chep_com/Documents/Documents/Awards and certifications and investors/DJSI/2022/"/>
    </mc:Choice>
  </mc:AlternateContent>
  <xr:revisionPtr revIDLastSave="0" documentId="8_{59571E0F-7236-4187-9B56-4237DA6DCFCF}" xr6:coauthVersionLast="47" xr6:coauthVersionMax="47" xr10:uidLastSave="{00000000-0000-0000-0000-000000000000}"/>
  <bookViews>
    <workbookView xWindow="-110" yWindow="-110" windowWidth="19420" windowHeight="10420" tabRatio="599" activeTab="1" xr2:uid="{00000000-000D-0000-FFFF-FFFF00000000}"/>
  </bookViews>
  <sheets>
    <sheet name="Sustainability Framework" sheetId="4" r:id="rId1"/>
    <sheet name="Planet Positive" sheetId="6" r:id="rId2"/>
    <sheet name="Emissions Water &amp; Waste Detail" sheetId="8" state="hidden" r:id="rId3"/>
    <sheet name="Business Positive" sheetId="5" r:id="rId4"/>
    <sheet name="Communities Positive" sheetId="7" r:id="rId5"/>
  </sheets>
  <definedNames>
    <definedName name="Age_distribution_of_permanent_employees">'Business Positive'!$B$152</definedName>
    <definedName name="BBFootnotes">'Business Positive'!$B$355</definedName>
    <definedName name="BIFR_by_gender">'Business Positive'!$B$281</definedName>
    <definedName name="BIFR_by_segment">'Business Positive'!$B$287</definedName>
    <definedName name="BPFootnote">'Planet Positive'!$B$524</definedName>
    <definedName name="Brambles_community_investment__US">'Communities Positive'!$B$23</definedName>
    <definedName name="Brambles_Injury_Frequency_Rate__BIFR">'Business Positive'!$B$275</definedName>
    <definedName name="Brambles’_recycling_efforts__excluding_reclaimed___metric_tonnes">'Planet Positive'!$B$427</definedName>
    <definedName name="Customer_feedback">'Business Positive'!$B$72</definedName>
    <definedName name="Detailedemissions">'Emissions Water &amp; Waste Detail'!$B$48</definedName>
    <definedName name="DetailedGHGDetail">'Emissions Water &amp; Waste Detail'!$B$72</definedName>
    <definedName name="DetailedIntensity">'Emissions Water &amp; Waste Detail'!$B$61</definedName>
    <definedName name="DetailedktCO2e">'Emissions Water &amp; Waste Detail'!$B$50</definedName>
    <definedName name="DetailedRainwater_harvested__megalitres">'Emissions Water &amp; Waste Detail'!$B$37</definedName>
    <definedName name="DetailedWaste">'Emissions Water &amp; Waste Detail'!$B$127</definedName>
    <definedName name="DetailedWaste1">'Emissions Water &amp; Waste Detail'!$B$125</definedName>
    <definedName name="DetailedWater">'Emissions Water &amp; Waste Detail'!$B$13</definedName>
    <definedName name="DetailedWaterConsumed">'Emissions Water &amp; Waste Detail'!$B$15</definedName>
    <definedName name="DetailedWaterRecycled">'Emissions Water &amp; Waste Detail'!$B$26</definedName>
    <definedName name="Detergent_purchased_for_washing_of_pallets__RPCs_and_containers">'Planet Positive'!$B$130</definedName>
    <definedName name="Education__Training_and_Development">'Business Positive'!$B$312</definedName>
    <definedName name="Education__training_and_development_days">'Business Positive'!$B$314</definedName>
    <definedName name="Emissions_intensity__kg_per_unit">'Planet Positive'!$B$227</definedName>
    <definedName name="Employee_hires_by_age_group">'Business Positive'!$B$260</definedName>
    <definedName name="Employee_hires_by_gender">'Business Positive'!$B$253</definedName>
    <definedName name="Employees_by_employment_contract">'Business Positive'!$B$136</definedName>
    <definedName name="Employees_by_employment_type">'Business Positive'!$B$144</definedName>
    <definedName name="Energy_and_Emissions">'Planet Positive'!$B$192</definedName>
    <definedName name="Engagement__5">'Business Positive'!$B$270</definedName>
    <definedName name="Environmental_benefits_delivered_in_customers__supply_chains__15">'Business Positive'!$B$24</definedName>
    <definedName name="FNBP_1">'Business Positive'!$B$356</definedName>
    <definedName name="FNBP_10">'Business Positive'!$B$365</definedName>
    <definedName name="FNBP_11">'Business Positive'!$B$366</definedName>
    <definedName name="FNBP_2">'Business Positive'!$B$357</definedName>
    <definedName name="FNBP_3">'Business Positive'!$B$358</definedName>
    <definedName name="FNBP_4">'Business Positive'!$B$359</definedName>
    <definedName name="FNBP_5">'Business Positive'!$B$360</definedName>
    <definedName name="FNBP_6">'Business Positive'!$B$361</definedName>
    <definedName name="FNBP_7">'Business Positive'!$B$362</definedName>
    <definedName name="FNBP_8">'Business Positive'!$B$363</definedName>
    <definedName name="FNBP_9">'Business Positive'!$B$364</definedName>
    <definedName name="FNCP_01">'Communities Positive'!$B$41</definedName>
    <definedName name="FNPB_12">'Business Positive'!$B$367</definedName>
    <definedName name="FNPP_1">'Planet Positive'!$B$525</definedName>
    <definedName name="FNPP_10">'Planet Positive'!$B$534</definedName>
    <definedName name="FNPP_11">'Planet Positive'!$B$535</definedName>
    <definedName name="FNPP_12">'Planet Positive'!$B$536</definedName>
    <definedName name="FNPP_13">'Planet Positive'!$B$537</definedName>
    <definedName name="FNPP_14">'Planet Positive'!$B$538</definedName>
    <definedName name="FNPP_15">'Planet Positive'!$B$539</definedName>
    <definedName name="FNPP_16">'Planet Positive'!$B$540</definedName>
    <definedName name="FNPP_17">'Planet Positive'!$B$541</definedName>
    <definedName name="FNPP_18">'Planet Positive'!$B$542</definedName>
    <definedName name="FNPP_19">'Planet Positive'!$B$543</definedName>
    <definedName name="FNPP_2">'Planet Positive'!$B$526</definedName>
    <definedName name="FNPP_20">'Planet Positive'!$B$544</definedName>
    <definedName name="FNPP_21">'Planet Positive'!$B$545</definedName>
    <definedName name="FNPP_3">'Planet Positive'!$B$527</definedName>
    <definedName name="FNPP_4">'Planet Positive'!$B$528</definedName>
    <definedName name="FNPP_5">'Planet Positive'!$B$529</definedName>
    <definedName name="FNPP_6">'Planet Positive'!$B$530</definedName>
    <definedName name="FNPP_7">'Planet Positive'!$B$531</definedName>
    <definedName name="FNPP_8">'Planet Positive'!$B$532</definedName>
    <definedName name="FNPP_9">'Planet Positive'!$B$533</definedName>
    <definedName name="Footnotes">'Business Positive'!$B$355</definedName>
    <definedName name="General_waste__recycling_and_hazardous_waste__metric_tonnes">'Planet Positive'!$B$383</definedName>
    <definedName name="GHG_generation_by_source">'Planet Positive'!$B$305</definedName>
    <definedName name="Global_insights_relationship_survey">'Business Positive'!$B$74</definedName>
    <definedName name="Greenhouse_gas__GHG__emissions__detail">'Planet Positive'!$B$235</definedName>
    <definedName name="Greenhouse_gas__GHG__emissions__Scope_3">'Planet Positive'!$B$330</definedName>
    <definedName name="Group_employees_returning_from_parental_leave_during_the_Year_as_a_percentage_of_those_who_took_parental_leave">'Business Positive'!$B$217</definedName>
    <definedName name="Group_employees_returning_to_work_after_parental_leave_during_the_Year">'Business Positive'!$B$224</definedName>
    <definedName name="Group_employees_taking_parental_leave_during_the_Year">'Business Positive'!$B$210</definedName>
    <definedName name="Kilotonnes__kt__of_CO2_e__4___Scope_1_and_2">'Planet Positive'!$B$194</definedName>
    <definedName name="Male__female_salary_ratios">'Business Positive'!$B$203</definedName>
    <definedName name="NatRes">'Planet Positive'!$B$27</definedName>
    <definedName name="Number_of_employees">'Business Positive'!$B$83</definedName>
    <definedName name="Office_v_Plant_ratio__permanent_employees">'Business Positive'!$B$116</definedName>
    <definedName name="Offset_Credits_Purchased___Through_Carbon_Neutral_Pallet_Promotion__8">'Planet Positive'!$B$474</definedName>
    <definedName name="People_performance____Employee_Stats__12">'Business Positive'!$B$81</definedName>
    <definedName name="Permanent_employees_by_gender__management_positions__as_at_30_June____male_female">'Business Positive'!$B$105</definedName>
    <definedName name="Permanent_employees_by_gender__total_____male_female">'Business Positive'!$B$94</definedName>
    <definedName name="Plastic_purchased_for_manufacture_of_RPCs">'Planet Positive'!$B$119</definedName>
    <definedName name="Plastic_recovered_and_reused_in_manufacture_of_RPCs__metric_tonnes">'Planet Positive'!$B$465</definedName>
    <definedName name="PlasticVol">'Planet Positive'!$B$465</definedName>
    <definedName name="Purchase_of_Credits">'Planet Positive'!$B$472</definedName>
    <definedName name="Rainwater_harvested__megalitres___16">'Planet Positive'!$B$175</definedName>
    <definedName name="Renewable_Energy_Certificate_Credits_Purchased___Covering_Scope_2_emissions__9">'Planet Positive'!$B$482</definedName>
    <definedName name="Sharing_and_reusing_model_performance">'Business Positive'!$B$22</definedName>
    <definedName name="Terajoules__TJ__of_energy__Scope_1_and_2">'Planet Positive'!$B$203</definedName>
    <definedName name="Total_number_of_employee_hires">'Business Positive'!$B$242</definedName>
    <definedName name="Volume_of_detergent__litres">'Planet Positive'!$B$132</definedName>
    <definedName name="Volume_of_plastic__tonnes">'Planet Positive'!$B$121</definedName>
    <definedName name="Volume_of_wood_by_classification_and_segment_for_the_Year">'Planet Positive'!$B$37</definedName>
    <definedName name="Voluntary_turnover_of_employees">'Business Positive'!$B$231</definedName>
    <definedName name="Volunteering_hours">'Communities Positive'!$B$33</definedName>
    <definedName name="Waste_and_recycling">'Planet Positive'!$B$381</definedName>
    <definedName name="Water">'Planet Positive'!$B$147</definedName>
    <definedName name="Water_consumed__megalitres___15">'Planet Positive'!$B$149</definedName>
    <definedName name="Water_discharged__megalitres___16">'Planet Positive'!$B$167</definedName>
    <definedName name="Water_recycled__megalitres">'Planet Positive'!$B$158</definedName>
    <definedName name="Wood_reclaimed__Pallets___metric_tonnes">'Planet Positive'!$B$420</definedName>
    <definedName name="Wood_volume__m3__by_forest_source_certification">'Planet Positive'!$B$73</definedName>
    <definedName name="Wood_volume_by_continent_of_origin">'Planet Positive'!$B$109</definedName>
    <definedName name="WoodVol">'Planet Positive'!$B$29</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C327" i="6" l="1"/>
  <c r="D327" i="6"/>
  <c r="G225" i="6"/>
  <c r="H225" i="6"/>
  <c r="I225" i="6"/>
  <c r="J225" i="6"/>
  <c r="F225" i="6"/>
  <c r="E225" i="6"/>
  <c r="D225" i="6"/>
  <c r="D224" i="6"/>
  <c r="C225" i="6"/>
  <c r="C224" i="6"/>
  <c r="E224" i="6"/>
  <c r="F224" i="6"/>
  <c r="G224" i="6"/>
  <c r="H224" i="6"/>
  <c r="I224" i="6"/>
  <c r="J224" i="6"/>
  <c r="J223" i="6"/>
  <c r="I223" i="6"/>
  <c r="H223" i="6"/>
  <c r="G223" i="6"/>
  <c r="F223" i="6"/>
  <c r="E223" i="6"/>
  <c r="D223" i="6"/>
  <c r="C223" i="6"/>
  <c r="J247" i="6"/>
  <c r="I247" i="6"/>
  <c r="I246" i="6" s="1"/>
  <c r="H247" i="6"/>
  <c r="G247" i="6"/>
  <c r="G246" i="6" s="1"/>
  <c r="F247" i="6"/>
  <c r="F246" i="6" s="1"/>
  <c r="E247" i="6"/>
  <c r="E246" i="6" s="1"/>
  <c r="D247" i="6"/>
  <c r="D246" i="6" s="1"/>
  <c r="J246" i="6"/>
  <c r="H246" i="6"/>
  <c r="C218" i="6"/>
  <c r="D218" i="6"/>
  <c r="D209" i="6"/>
  <c r="D200" i="6"/>
  <c r="D180" i="6"/>
  <c r="D172" i="6"/>
  <c r="D164" i="6"/>
  <c r="D155" i="6"/>
  <c r="G63" i="5" l="1"/>
  <c r="G59" i="5"/>
  <c r="F430" i="6"/>
  <c r="F433" i="6" s="1"/>
  <c r="K433" i="6"/>
  <c r="I433" i="6"/>
  <c r="H433" i="6"/>
  <c r="G433" i="6"/>
  <c r="D433" i="6"/>
  <c r="E433" i="6"/>
  <c r="J432" i="6"/>
  <c r="J431" i="6"/>
  <c r="D386" i="6"/>
  <c r="C152" i="6"/>
  <c r="C155" i="6" s="1"/>
  <c r="C479" i="6"/>
  <c r="C480" i="6"/>
  <c r="D245" i="6"/>
  <c r="D244" i="6"/>
  <c r="D243" i="6"/>
  <c r="D242" i="6"/>
  <c r="D241" i="6"/>
  <c r="D240" i="6"/>
  <c r="D239" i="6"/>
  <c r="C209" i="6"/>
  <c r="J430" i="6" l="1"/>
  <c r="J433" i="6" s="1"/>
  <c r="I36" i="5"/>
  <c r="I35" i="5" s="1"/>
  <c r="D35" i="5" l="1"/>
  <c r="F485" i="6" l="1"/>
  <c r="F498" i="6"/>
  <c r="E485" i="6"/>
  <c r="D485" i="6"/>
  <c r="E498" i="6"/>
  <c r="D498" i="6"/>
  <c r="E343" i="6"/>
  <c r="E342" i="6"/>
  <c r="E341" i="6"/>
  <c r="E340" i="6"/>
  <c r="E338" i="6"/>
  <c r="E337" i="6"/>
  <c r="E336" i="6"/>
  <c r="E335" i="6"/>
  <c r="D339" i="6"/>
  <c r="E245" i="6"/>
  <c r="E244" i="6"/>
  <c r="E243" i="6"/>
  <c r="E242" i="6"/>
  <c r="E241" i="6"/>
  <c r="D272" i="6"/>
  <c r="J266" i="6"/>
  <c r="J265" i="6"/>
  <c r="J263" i="6"/>
  <c r="C31" i="7"/>
  <c r="E240" i="6" l="1"/>
  <c r="E239" i="6" s="1"/>
  <c r="E339" i="6"/>
  <c r="C35" i="6"/>
  <c r="C470" i="6"/>
  <c r="F386" i="6"/>
  <c r="E386" i="6"/>
  <c r="E334" i="6"/>
  <c r="D334" i="6"/>
  <c r="C200" i="6"/>
  <c r="C180" i="6"/>
  <c r="C172" i="6"/>
  <c r="C164" i="6"/>
  <c r="H218" i="6" l="1"/>
  <c r="I218" i="6"/>
  <c r="J218" i="6"/>
  <c r="G218" i="6"/>
  <c r="F218" i="6"/>
  <c r="E218" i="6"/>
  <c r="E505" i="6" l="1"/>
  <c r="D470" i="6"/>
  <c r="J434" i="6"/>
  <c r="K437" i="6"/>
  <c r="I437" i="6"/>
  <c r="H437" i="6"/>
  <c r="G437" i="6"/>
  <c r="F437" i="6"/>
  <c r="D437" i="6"/>
  <c r="F390" i="6"/>
  <c r="E390" i="6"/>
  <c r="D390" i="6"/>
  <c r="E180" i="6"/>
  <c r="E172" i="6"/>
  <c r="E164" i="6"/>
  <c r="E155" i="6"/>
  <c r="I52" i="5" l="1"/>
  <c r="I48" i="5"/>
  <c r="E437" i="6"/>
  <c r="J437" i="6"/>
  <c r="D137" i="6"/>
  <c r="D126" i="6" l="1"/>
  <c r="E504" i="6" l="1"/>
  <c r="D504" i="6"/>
  <c r="E499" i="6"/>
  <c r="D499" i="6"/>
  <c r="D344" i="6"/>
  <c r="E346" i="6"/>
  <c r="E344" i="6" s="1"/>
  <c r="I254" i="6" l="1"/>
  <c r="I253" i="6" s="1"/>
  <c r="G254" i="6"/>
  <c r="G253" i="6" s="1"/>
  <c r="E254" i="6"/>
  <c r="E253" i="6" s="1"/>
  <c r="H254" i="6" l="1"/>
  <c r="H253" i="6"/>
  <c r="F254" i="6"/>
  <c r="F253" i="6" s="1"/>
  <c r="D254" i="6"/>
  <c r="D253" i="6" s="1"/>
  <c r="E197" i="6"/>
  <c r="E200" i="6" s="1"/>
  <c r="E209" i="6" l="1"/>
  <c r="F394" i="6"/>
  <c r="J253" i="6"/>
  <c r="J254" i="6" l="1"/>
  <c r="E130" i="8"/>
  <c r="D130" i="8"/>
  <c r="G272" i="6"/>
  <c r="F272" i="6"/>
  <c r="E272" i="6"/>
  <c r="K273" i="6"/>
  <c r="J273" i="6"/>
  <c r="I273" i="6"/>
  <c r="H273" i="6"/>
  <c r="G273" i="6"/>
  <c r="F273" i="6"/>
  <c r="E273" i="6"/>
  <c r="D273" i="6"/>
  <c r="F271" i="6"/>
  <c r="J270" i="6"/>
  <c r="I270" i="6"/>
  <c r="H270" i="6"/>
  <c r="G270" i="6"/>
  <c r="F270" i="6"/>
  <c r="G269" i="6"/>
  <c r="F269" i="6"/>
  <c r="E279" i="6"/>
  <c r="D279" i="6"/>
  <c r="G279" i="6"/>
  <c r="F279" i="6"/>
  <c r="I279" i="6"/>
  <c r="I272" i="6" s="1"/>
  <c r="H279" i="6"/>
  <c r="H272" i="6" s="1"/>
  <c r="J272" i="6" s="1"/>
  <c r="I280" i="6"/>
  <c r="H280" i="6"/>
  <c r="G280" i="6"/>
  <c r="F280" i="6"/>
  <c r="E280" i="6"/>
  <c r="D280" i="6"/>
  <c r="D278" i="6"/>
  <c r="D277" i="6"/>
  <c r="D276" i="6"/>
  <c r="D275" i="6"/>
  <c r="I278" i="6"/>
  <c r="H278" i="6"/>
  <c r="G278" i="6"/>
  <c r="F278" i="6"/>
  <c r="E278" i="6"/>
  <c r="I277" i="6"/>
  <c r="H277" i="6"/>
  <c r="G277" i="6"/>
  <c r="F277" i="6"/>
  <c r="E277" i="6"/>
  <c r="I276" i="6"/>
  <c r="H276" i="6"/>
  <c r="G276" i="6"/>
  <c r="F276" i="6"/>
  <c r="E276" i="6"/>
  <c r="I275" i="6"/>
  <c r="H275" i="6"/>
  <c r="G275" i="6"/>
  <c r="F275" i="6"/>
  <c r="E275" i="6"/>
  <c r="I264" i="6"/>
  <c r="I271" i="6" s="1"/>
  <c r="H264" i="6"/>
  <c r="I262" i="6"/>
  <c r="I269" i="6" s="1"/>
  <c r="H262" i="6"/>
  <c r="H209" i="6"/>
  <c r="H197" i="6"/>
  <c r="H200" i="6" s="1"/>
  <c r="F274" i="6" l="1"/>
  <c r="E274" i="6"/>
  <c r="I274" i="6"/>
  <c r="G274" i="6"/>
  <c r="H274" i="6"/>
  <c r="D274" i="6"/>
  <c r="H269" i="6"/>
  <c r="J262" i="6"/>
  <c r="H271" i="6"/>
  <c r="J264" i="6"/>
  <c r="J271" i="6" s="1"/>
  <c r="G264" i="6"/>
  <c r="G271" i="6" s="1"/>
  <c r="G163" i="6"/>
  <c r="G162" i="6"/>
  <c r="G161" i="6"/>
  <c r="G154" i="6"/>
  <c r="G153" i="6"/>
  <c r="G152" i="6"/>
  <c r="F31" i="7" l="1"/>
  <c r="E31" i="7"/>
  <c r="G215" i="5" l="1"/>
  <c r="G214" i="5"/>
  <c r="G213" i="5"/>
  <c r="G222" i="5"/>
  <c r="G221" i="5"/>
  <c r="G220" i="5"/>
  <c r="G229" i="5"/>
  <c r="G228" i="5"/>
  <c r="G227" i="5"/>
  <c r="G29" i="7" l="1"/>
  <c r="G31" i="7" s="1"/>
  <c r="H51" i="5" l="1"/>
  <c r="G51" i="5"/>
  <c r="G47" i="5"/>
  <c r="D51" i="5"/>
  <c r="F229" i="5" l="1"/>
  <c r="F228" i="5"/>
  <c r="F227" i="5"/>
  <c r="E229" i="5"/>
  <c r="E228" i="5"/>
  <c r="E227" i="5"/>
  <c r="F222" i="5"/>
  <c r="E222" i="5"/>
  <c r="F221" i="5"/>
  <c r="E221" i="5"/>
  <c r="F220" i="5"/>
  <c r="E220" i="5"/>
  <c r="F215" i="5"/>
  <c r="E215" i="5"/>
  <c r="F214" i="5"/>
  <c r="E214" i="5"/>
  <c r="F213" i="5"/>
  <c r="E213" i="5"/>
  <c r="D55" i="5" l="1"/>
  <c r="E137" i="6" l="1"/>
  <c r="F137" i="6"/>
  <c r="E403" i="6" l="1"/>
  <c r="E402" i="6" s="1"/>
  <c r="D403" i="6"/>
  <c r="D402" i="6" s="1"/>
  <c r="E361" i="6"/>
  <c r="E360" i="6"/>
  <c r="D361" i="6"/>
  <c r="D360" i="6"/>
  <c r="H180" i="6"/>
  <c r="H155" i="6"/>
  <c r="G126" i="6"/>
  <c r="G136" i="6"/>
  <c r="G137" i="6" s="1"/>
  <c r="F92" i="6"/>
  <c r="E92" i="6"/>
  <c r="D92" i="6"/>
  <c r="G35" i="6"/>
  <c r="E359" i="6" l="1"/>
  <c r="D359" i="6"/>
  <c r="G245" i="5"/>
  <c r="J451" i="6" l="1"/>
  <c r="J443" i="6"/>
  <c r="K442" i="6"/>
  <c r="I442" i="6"/>
  <c r="H442" i="6"/>
  <c r="G442" i="6"/>
  <c r="E442" i="6"/>
  <c r="E438" i="6"/>
  <c r="J438" i="6" s="1"/>
  <c r="J442" i="6" s="1"/>
  <c r="F469" i="6"/>
  <c r="E469" i="6"/>
  <c r="F399" i="6"/>
  <c r="E400" i="6"/>
  <c r="D400" i="6"/>
  <c r="D395" i="6"/>
  <c r="E395" i="6"/>
  <c r="E399" i="6" l="1"/>
  <c r="E394" i="6"/>
  <c r="D399" i="6"/>
  <c r="D394" i="6"/>
  <c r="E510" i="6"/>
  <c r="D510" i="6"/>
  <c r="J269" i="6"/>
  <c r="D505" i="6"/>
  <c r="I51" i="5" l="1"/>
  <c r="I47" i="5"/>
  <c r="G197" i="6"/>
  <c r="F197" i="6"/>
  <c r="E263" i="6"/>
  <c r="E270" i="6" s="1"/>
  <c r="E264" i="6"/>
  <c r="E271" i="6" s="1"/>
  <c r="E262" i="6"/>
  <c r="E269" i="6" s="1"/>
  <c r="D262" i="6"/>
  <c r="D269" i="6" s="1"/>
  <c r="D264" i="6"/>
  <c r="D271" i="6" s="1"/>
  <c r="D263" i="6"/>
  <c r="D270" i="6" s="1"/>
  <c r="H32" i="5" l="1"/>
  <c r="F126" i="6"/>
  <c r="E126" i="6"/>
  <c r="F88" i="6"/>
  <c r="E88" i="6"/>
  <c r="D88" i="6"/>
  <c r="F84" i="6"/>
  <c r="E84" i="6"/>
  <c r="D84" i="6"/>
  <c r="F35" i="6"/>
  <c r="E35" i="6"/>
  <c r="I46" i="8" l="1"/>
  <c r="H46" i="8"/>
  <c r="G46" i="8"/>
  <c r="F46" i="8"/>
  <c r="D46" i="8"/>
  <c r="C46" i="8"/>
  <c r="I35" i="8"/>
  <c r="H35" i="8"/>
  <c r="G35" i="8"/>
  <c r="F35" i="8"/>
  <c r="D35" i="8"/>
  <c r="C35" i="8"/>
  <c r="D24" i="8"/>
  <c r="F470" i="6" l="1"/>
  <c r="K445" i="6"/>
  <c r="J445" i="6"/>
  <c r="I445" i="6"/>
  <c r="H445" i="6"/>
  <c r="G445" i="6"/>
  <c r="F445" i="6"/>
  <c r="E445" i="6"/>
  <c r="D445" i="6"/>
  <c r="F398" i="6"/>
  <c r="E398" i="6"/>
  <c r="D398" i="6"/>
  <c r="E354" i="6"/>
  <c r="D354" i="6"/>
  <c r="K268" i="6"/>
  <c r="J268" i="6"/>
  <c r="K267" i="6"/>
  <c r="J267" i="6"/>
  <c r="K261" i="6"/>
  <c r="J261" i="6"/>
  <c r="K260" i="6"/>
  <c r="J260" i="6"/>
  <c r="I268" i="6"/>
  <c r="H268" i="6"/>
  <c r="G268" i="6"/>
  <c r="F268" i="6"/>
  <c r="E268" i="6"/>
  <c r="D268" i="6"/>
  <c r="I267" i="6"/>
  <c r="H267" i="6"/>
  <c r="G267" i="6"/>
  <c r="F267" i="6"/>
  <c r="E267" i="6"/>
  <c r="D267" i="6"/>
  <c r="G209" i="6"/>
  <c r="G200" i="6"/>
  <c r="G180" i="6"/>
  <c r="G172" i="6"/>
  <c r="G164" i="6"/>
  <c r="G155" i="6"/>
  <c r="I24" i="8" l="1"/>
  <c r="H24" i="8"/>
  <c r="G24" i="8"/>
  <c r="F24" i="8"/>
  <c r="C24" i="8"/>
  <c r="I209" i="6" l="1"/>
  <c r="I200" i="6"/>
  <c r="J229" i="5"/>
  <c r="I229" i="5"/>
  <c r="H229" i="5"/>
  <c r="J228" i="5"/>
  <c r="I228" i="5"/>
  <c r="H228" i="5"/>
  <c r="J227" i="5"/>
  <c r="I227" i="5"/>
  <c r="H227" i="5"/>
  <c r="H222" i="5"/>
  <c r="H221" i="5"/>
  <c r="H220" i="5"/>
  <c r="J215" i="5"/>
  <c r="I215" i="5"/>
  <c r="H215" i="5"/>
  <c r="J214" i="5"/>
  <c r="I214" i="5"/>
  <c r="H214" i="5"/>
  <c r="J213" i="5"/>
  <c r="I213" i="5"/>
  <c r="H213" i="5"/>
  <c r="K88" i="5"/>
  <c r="K87" i="5"/>
  <c r="H61" i="5"/>
  <c r="D61" i="5"/>
  <c r="H60" i="5"/>
  <c r="D60" i="5"/>
  <c r="J32" i="5"/>
  <c r="I59" i="5" s="1"/>
  <c r="K137" i="6"/>
  <c r="H470" i="6"/>
  <c r="E470" i="6"/>
  <c r="E441" i="6"/>
  <c r="F441" i="6"/>
  <c r="G441" i="6"/>
  <c r="H441" i="6"/>
  <c r="I441" i="6"/>
  <c r="J441" i="6"/>
  <c r="K441" i="6"/>
  <c r="D441" i="6"/>
  <c r="E364" i="6"/>
  <c r="D364" i="6"/>
  <c r="E349" i="6"/>
  <c r="D349" i="6"/>
  <c r="E260" i="6"/>
  <c r="F260" i="6"/>
  <c r="G260" i="6"/>
  <c r="H260" i="6"/>
  <c r="I260" i="6"/>
  <c r="E261" i="6"/>
  <c r="F261" i="6"/>
  <c r="G261" i="6"/>
  <c r="H261" i="6"/>
  <c r="I261" i="6"/>
  <c r="D261" i="6"/>
  <c r="D260" i="6"/>
  <c r="F209" i="6"/>
  <c r="F200" i="6"/>
  <c r="F180" i="6"/>
  <c r="F172" i="6"/>
  <c r="F164" i="6"/>
  <c r="F155" i="6"/>
  <c r="J469" i="6"/>
  <c r="J470" i="6" s="1"/>
  <c r="I469" i="6"/>
  <c r="I470" i="6" s="1"/>
  <c r="K463" i="6"/>
  <c r="I463" i="6"/>
  <c r="H463" i="6"/>
  <c r="G463" i="6"/>
  <c r="F463" i="6"/>
  <c r="E463" i="6"/>
  <c r="D463" i="6"/>
  <c r="J462" i="6"/>
  <c r="J461" i="6"/>
  <c r="J460" i="6"/>
  <c r="J459" i="6"/>
  <c r="K458" i="6"/>
  <c r="I458" i="6"/>
  <c r="H458" i="6"/>
  <c r="G458" i="6"/>
  <c r="E458" i="6"/>
  <c r="D458" i="6"/>
  <c r="F456" i="6"/>
  <c r="F458" i="6" s="1"/>
  <c r="J455" i="6"/>
  <c r="J454" i="6"/>
  <c r="E413" i="6"/>
  <c r="E410" i="6" s="1"/>
  <c r="D413" i="6"/>
  <c r="D410" i="6" s="1"/>
  <c r="F410" i="6"/>
  <c r="D374" i="6"/>
  <c r="D373" i="6"/>
  <c r="E373" i="6" s="1"/>
  <c r="D372" i="6"/>
  <c r="E372" i="6" s="1"/>
  <c r="D371" i="6"/>
  <c r="E371" i="6" s="1"/>
  <c r="D370" i="6"/>
  <c r="E370" i="6" s="1"/>
  <c r="I294" i="6"/>
  <c r="I288" i="6" s="1"/>
  <c r="H294" i="6"/>
  <c r="F294" i="6"/>
  <c r="H293" i="6"/>
  <c r="F293" i="6"/>
  <c r="E293" i="6"/>
  <c r="H292" i="6"/>
  <c r="F292" i="6"/>
  <c r="E292" i="6"/>
  <c r="H291" i="6"/>
  <c r="F291" i="6"/>
  <c r="E291" i="6"/>
  <c r="H290" i="6"/>
  <c r="F290" i="6"/>
  <c r="E290" i="6"/>
  <c r="I289" i="6"/>
  <c r="G289" i="6"/>
  <c r="G288" i="6"/>
  <c r="L210" i="6"/>
  <c r="J199" i="6"/>
  <c r="J198" i="6"/>
  <c r="J197" i="6"/>
  <c r="L201" i="6"/>
  <c r="J200" i="6"/>
  <c r="I180" i="6"/>
  <c r="J178" i="6"/>
  <c r="J180" i="6" s="1"/>
  <c r="J171" i="6"/>
  <c r="J170" i="6"/>
  <c r="J163" i="6"/>
  <c r="J162" i="6"/>
  <c r="J161" i="6"/>
  <c r="J153" i="6"/>
  <c r="J152" i="6"/>
  <c r="I136" i="6"/>
  <c r="I137" i="6" s="1"/>
  <c r="K126" i="6"/>
  <c r="H126" i="6"/>
  <c r="I125" i="6"/>
  <c r="I124" i="6"/>
  <c r="F100" i="6"/>
  <c r="E100" i="6"/>
  <c r="D100" i="6"/>
  <c r="F96" i="6"/>
  <c r="E96" i="6"/>
  <c r="D96" i="6"/>
  <c r="F71" i="6"/>
  <c r="E71" i="6"/>
  <c r="D71" i="6"/>
  <c r="F70" i="6"/>
  <c r="E70" i="6"/>
  <c r="D70" i="6"/>
  <c r="F69" i="6"/>
  <c r="E69" i="6"/>
  <c r="D69" i="6"/>
  <c r="F68" i="6"/>
  <c r="E68" i="6"/>
  <c r="D68" i="6"/>
  <c r="I35" i="6"/>
  <c r="H35" i="6"/>
  <c r="H29" i="7"/>
  <c r="H31" i="7" s="1"/>
  <c r="I29" i="7"/>
  <c r="I31" i="7" s="1"/>
  <c r="J29" i="7"/>
  <c r="J31" i="7" s="1"/>
  <c r="I126" i="6" l="1"/>
  <c r="E294" i="6"/>
  <c r="E288" i="6" s="1"/>
  <c r="F289" i="6"/>
  <c r="H288" i="6"/>
  <c r="J155" i="6"/>
  <c r="H289" i="6"/>
  <c r="D293" i="6"/>
  <c r="J458" i="6"/>
  <c r="J172" i="6"/>
  <c r="D369" i="6"/>
  <c r="E369" i="6" s="1"/>
  <c r="J164" i="6"/>
  <c r="D290" i="6"/>
  <c r="D291" i="6"/>
  <c r="D294" i="6"/>
  <c r="E289" i="6"/>
  <c r="D292" i="6"/>
  <c r="J456" i="6"/>
  <c r="J463" i="6"/>
  <c r="F288" i="6"/>
  <c r="E374" i="6"/>
  <c r="D289" i="6" l="1"/>
  <c r="D288"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tc={8BE6B659-562F-4D00-BF0F-F988BBB84967}</author>
  </authors>
  <commentList>
    <comment ref="C206" authorId="0" shapeId="0" xr:uid="{8BE6B659-562F-4D00-BF0F-F988BBB84967}">
      <text>
        <t>[Threaded comment]
Your version of Excel allows you to read this threaded comment; however, any edits to it will get removed if the file is opened in a newer version of Excel. Learn more: https://go.microsoft.com/fwlink/?linkid=870924
Comment:
    need to add mumbia</t>
      </text>
    </comment>
  </commentList>
</comments>
</file>

<file path=xl/sharedStrings.xml><?xml version="1.0" encoding="utf-8"?>
<sst xmlns="http://schemas.openxmlformats.org/spreadsheetml/2006/main" count="2062" uniqueCount="492">
  <si>
    <t>Planet Positive</t>
  </si>
  <si>
    <t>Last Updated:</t>
  </si>
  <si>
    <t xml:space="preserve">For further information on performance, please refer to the appropriate Sustainability Review. </t>
  </si>
  <si>
    <t>We have divested companies' figures up until their divestment for transparency purposes in each table below</t>
  </si>
  <si>
    <t xml:space="preserve">Contents: </t>
  </si>
  <si>
    <t>Natural Resources;</t>
  </si>
  <si>
    <t>Energy and Emissions</t>
  </si>
  <si>
    <t xml:space="preserve">Wood purchased for manufacture and repair of pallets </t>
  </si>
  <si>
    <t>Kilotonnes (kt) of CO2-e (Scope 1 and 2)</t>
  </si>
  <si>
    <t>Volume of wood by classification and segment for the year (%)</t>
  </si>
  <si>
    <t>Terajoules (TJ) of energy (Scope 1 and 2)</t>
  </si>
  <si>
    <t>Wood volume (m3) by forest source certification</t>
  </si>
  <si>
    <t>Emissions intensity (kg per unit)</t>
  </si>
  <si>
    <t>Wood volume by continent of origin (%)</t>
  </si>
  <si>
    <t>Greenhouse gas (GHG) emissions (detail)</t>
  </si>
  <si>
    <t>Plastic purchased for manufacture of RPCs</t>
  </si>
  <si>
    <t>GHG generation by source (%)</t>
  </si>
  <si>
    <t>Volume of plastic (tonnes)</t>
  </si>
  <si>
    <t>Science Based Targets Scope 3 Emissions (kt-CO2e)</t>
  </si>
  <si>
    <t>Detergent purchased for washing of assets and Palm Oil Content</t>
  </si>
  <si>
    <t>Greenhouse gas (GHG) emissions (Scope 3)</t>
  </si>
  <si>
    <t>Volume of Detergent purchased (litres)</t>
  </si>
  <si>
    <t>Waste, reuse and recycling</t>
  </si>
  <si>
    <t>Palm Oil Content</t>
  </si>
  <si>
    <t>General waste, recycling and hazardous waste (metric tonnes)</t>
  </si>
  <si>
    <t>Volume of detergent (litres)</t>
  </si>
  <si>
    <t>Wood reclaimed (Pallets) (metric tonnes)</t>
  </si>
  <si>
    <t>Water</t>
  </si>
  <si>
    <t>Brambles’ recycling efforts (excluding reclaimed) (metric tonnes)</t>
  </si>
  <si>
    <t xml:space="preserve">Water consumed (megalitres) </t>
  </si>
  <si>
    <t>Plastic recovered and reused in manufacture of RPCs (metric tonnes)</t>
  </si>
  <si>
    <t>Water recycled (megalitres)</t>
  </si>
  <si>
    <t>Purchase of Credits</t>
  </si>
  <si>
    <t>Water discharged (megalitres)</t>
  </si>
  <si>
    <t>Offset Credits Purchased - Through Carbon Neutral Pallet Promotion</t>
  </si>
  <si>
    <t>Rainwater harvested (megalitres)</t>
  </si>
  <si>
    <t>Renewable Energy Certificate Credits Purchased - Covering Scope 2 emissions</t>
  </si>
  <si>
    <t>Carbon Credit Offsets Purchased - Covering Scope 1 emissions</t>
  </si>
  <si>
    <t>Reforestation &amp; Afforestation</t>
  </si>
  <si>
    <t>Footnotes</t>
  </si>
  <si>
    <t>Natural Resources</t>
  </si>
  <si>
    <t>Wood purchased for manufacture and repair of pallets</t>
  </si>
  <si>
    <r>
      <t>Volume of wood (m</t>
    </r>
    <r>
      <rPr>
        <b/>
        <vertAlign val="superscript"/>
        <sz val="10"/>
        <color indexed="8"/>
        <rFont val="Segoe UI"/>
        <family val="2"/>
      </rPr>
      <t>3</t>
    </r>
    <r>
      <rPr>
        <b/>
        <sz val="10"/>
        <color indexed="8"/>
        <rFont val="Segoe UI"/>
        <family val="2"/>
      </rPr>
      <t>)</t>
    </r>
  </si>
  <si>
    <t>FY21</t>
  </si>
  <si>
    <t>FY20</t>
  </si>
  <si>
    <t>FY19 (exc IFCO)</t>
  </si>
  <si>
    <t>FY19 (inc IFCO)</t>
  </si>
  <si>
    <t>FY18 (exc IFCO)</t>
  </si>
  <si>
    <t>FY18 (inc IFCO)</t>
  </si>
  <si>
    <t>FY17</t>
  </si>
  <si>
    <t>FY16</t>
  </si>
  <si>
    <t>Pallets Americas</t>
  </si>
  <si>
    <t>Pallets EMEA</t>
  </si>
  <si>
    <t>Pallets Asia-Pacific</t>
  </si>
  <si>
    <t>Total</t>
  </si>
  <si>
    <t>Volume of wood by classification and segment for the Year (%)</t>
  </si>
  <si>
    <t>Year</t>
  </si>
  <si>
    <t>Regional Split</t>
  </si>
  <si>
    <t>Chain of custody (COC) certified</t>
  </si>
  <si>
    <t>Certified sources</t>
  </si>
  <si>
    <t>Policy compliant</t>
  </si>
  <si>
    <t>FY19</t>
  </si>
  <si>
    <t>(exc IFCO)</t>
  </si>
  <si>
    <t>(inc IFCO)</t>
  </si>
  <si>
    <r>
      <t>Wood volume (m</t>
    </r>
    <r>
      <rPr>
        <b/>
        <vertAlign val="superscript"/>
        <sz val="10"/>
        <color indexed="8"/>
        <rFont val="Segoe UI"/>
        <family val="2"/>
      </rPr>
      <t>3</t>
    </r>
    <r>
      <rPr>
        <b/>
        <sz val="10"/>
        <color indexed="8"/>
        <rFont val="Segoe UI"/>
        <family val="2"/>
      </rPr>
      <t>) by forest source certification</t>
    </r>
  </si>
  <si>
    <t>Chain of custody (COC) certification</t>
  </si>
  <si>
    <t>Certified source wood (not including COC)</t>
  </si>
  <si>
    <t>Policy compliant wood</t>
  </si>
  <si>
    <t>-</t>
  </si>
  <si>
    <t>Europe</t>
  </si>
  <si>
    <t>Australia/ New Zealand</t>
  </si>
  <si>
    <t>South America</t>
  </si>
  <si>
    <t>Africa</t>
  </si>
  <si>
    <t>North America</t>
  </si>
  <si>
    <t>Asia</t>
  </si>
  <si>
    <t>Product Split</t>
  </si>
  <si>
    <t>RPCs</t>
  </si>
  <si>
    <t>IFCO</t>
  </si>
  <si>
    <t>Pallets</t>
  </si>
  <si>
    <t>CHEP</t>
  </si>
  <si>
    <t>Group</t>
  </si>
  <si>
    <t>RPCs Total</t>
  </si>
  <si>
    <t>Containers</t>
  </si>
  <si>
    <t>Volume of detergent (litres) [14]</t>
  </si>
  <si>
    <t>Not able to split by product</t>
  </si>
  <si>
    <t>Any Palm Oil contained in washing detergents</t>
  </si>
  <si>
    <t>No</t>
  </si>
  <si>
    <t xml:space="preserve"> Yes[18] </t>
  </si>
  <si>
    <t>Any uncertified palm oil</t>
  </si>
  <si>
    <t>N/A</t>
  </si>
  <si>
    <t>Water consumed (megalitres)</t>
  </si>
  <si>
    <t>FY20 Rebased</t>
  </si>
  <si>
    <t>Corporate</t>
  </si>
  <si>
    <t>Water Stress</t>
  </si>
  <si>
    <t>Product</t>
  </si>
  <si>
    <t>Low (&lt;10%)</t>
  </si>
  <si>
    <t>Low - Medium (10-20%)</t>
  </si>
  <si>
    <t>Medium - High (20-40%)</t>
  </si>
  <si>
    <t>High (40-80%)</t>
  </si>
  <si>
    <t>Extremely High (&gt;80%)</t>
  </si>
  <si>
    <t>Kilotonnes (kt) of CO2-e [1] (Scope 1 and 2)</t>
  </si>
  <si>
    <t>FY18  (inc IFCO)</t>
  </si>
  <si>
    <t xml:space="preserve">Pallets </t>
  </si>
  <si>
    <t xml:space="preserve">RPCs </t>
  </si>
  <si>
    <t>FY20 [20]</t>
  </si>
  <si>
    <t>MWh of energy (Scope 1 and 2)</t>
  </si>
  <si>
    <t>Energy split [15]</t>
  </si>
  <si>
    <t xml:space="preserve">FY21 </t>
  </si>
  <si>
    <t>FY20
Rebased</t>
  </si>
  <si>
    <t>a) Non-renewable Fuels</t>
  </si>
  <si>
    <t>b) Non-renewable electricity</t>
  </si>
  <si>
    <t>c) Total renewable Energy (wind, solar, biomass etc.) [16]</t>
  </si>
  <si>
    <t>Total Non-Renewable Energy Consumption (A+B)</t>
  </si>
  <si>
    <t>Gigajoules of Renewable Energy (Scope 1 and 2)</t>
  </si>
  <si>
    <t>Renewable Energy(wind, Solar, biomass, EACs)</t>
  </si>
  <si>
    <t>Renewable Electricity (Purchased, Generated,EACs)</t>
  </si>
  <si>
    <t>Electricity (Normal, Renewable, Generated &amp; EACs)</t>
  </si>
  <si>
    <t>Reported (CGEN Intensity)</t>
  </si>
  <si>
    <t>FY16 [2]</t>
  </si>
  <si>
    <t>No longer reported</t>
  </si>
  <si>
    <t>Reported (TEU Intensity) [5]</t>
  </si>
  <si>
    <r>
      <t xml:space="preserve">Total of Scope 1 and Scope 2 </t>
    </r>
    <r>
      <rPr>
        <b/>
        <sz val="8"/>
        <rFont val="Segoe UI"/>
        <family val="2"/>
      </rPr>
      <t>(Market based)</t>
    </r>
  </si>
  <si>
    <t>Scope 1</t>
  </si>
  <si>
    <t>Scope 2 Location Based [9]</t>
  </si>
  <si>
    <t>Scope 2 "Market Based" [10]</t>
  </si>
  <si>
    <t>kt CO2-e</t>
  </si>
  <si>
    <t>TJ</t>
  </si>
  <si>
    <t>Pallets (total)</t>
  </si>
  <si>
    <t xml:space="preserve">Pallets EMEA </t>
  </si>
  <si>
    <t>FY20 Rebased [21]</t>
  </si>
  <si>
    <t>(inc IFCO) [11]</t>
  </si>
  <si>
    <t>Pallets EMEA [4]</t>
  </si>
  <si>
    <t>Source</t>
  </si>
  <si>
    <t xml:space="preserve">Electricity </t>
  </si>
  <si>
    <t>not available</t>
  </si>
  <si>
    <t xml:space="preserve">Diesel fuel </t>
  </si>
  <si>
    <t xml:space="preserve">Natural gas </t>
  </si>
  <si>
    <t xml:space="preserve">LPG/Propane </t>
  </si>
  <si>
    <t>Motor gasoline/Petrol</t>
  </si>
  <si>
    <t xml:space="preserve">Other </t>
  </si>
  <si>
    <t> </t>
  </si>
  <si>
    <t>SBTi Category</t>
  </si>
  <si>
    <t>Scope 3</t>
  </si>
  <si>
    <t>TJ [12]</t>
  </si>
  <si>
    <t>Pallets – outsourced service centres</t>
  </si>
  <si>
    <t>Pallets – transport (Road, Rail &amp; Sea)</t>
  </si>
  <si>
    <t>RPCs - outsourced service centres</t>
  </si>
  <si>
    <t>RPCs - transport</t>
  </si>
  <si>
    <t>FY20 Restated</t>
  </si>
  <si>
    <t>Pallets – outsourced service centres [17]</t>
  </si>
  <si>
    <t>RPCs – outsourced service centres [17]</t>
  </si>
  <si>
    <t>Pallets – outsourced service centres [3]</t>
  </si>
  <si>
    <t>Containers - outsourced service centres</t>
  </si>
  <si>
    <t>Waste and recycling</t>
  </si>
  <si>
    <t>General waste</t>
  </si>
  <si>
    <t>Recycling</t>
  </si>
  <si>
    <t>Hazardous waste</t>
  </si>
  <si>
    <t>Reclaim type</t>
  </si>
  <si>
    <t>Reused in repair and manufacture of pallets - own sites</t>
  </si>
  <si>
    <t>Reused in repair and manufacture of pallets - outsourced service centres</t>
  </si>
  <si>
    <t>Reused in other ways (fuel and recycled - see below) - own sites</t>
  </si>
  <si>
    <t>Product split</t>
  </si>
  <si>
    <t>Wood (Fuel)</t>
  </si>
  <si>
    <t>Wood (Recycled)</t>
  </si>
  <si>
    <t>Paper and Corrugate</t>
  </si>
  <si>
    <t>Comingled</t>
  </si>
  <si>
    <t>Plastic</t>
  </si>
  <si>
    <t>Metal</t>
  </si>
  <si>
    <t>General (power generation)</t>
  </si>
  <si>
    <t>(Inc IFCO)</t>
  </si>
  <si>
    <t>Offset Credits Purchased - Through Carbon Neutral Pallet Promotion [6]</t>
  </si>
  <si>
    <t>Tonnes CO2e</t>
  </si>
  <si>
    <t xml:space="preserve"> 8,699[13] </t>
  </si>
  <si>
    <t>Renewable Energy Certificate Credits Purchased - Covering Scope 2 emissions [7]</t>
  </si>
  <si>
    <t>Year [8]</t>
  </si>
  <si>
    <t>Energy Attribute Certificates
(EACs) MWhs</t>
  </si>
  <si>
    <t>EAC
Tonnes CO2e Offset</t>
  </si>
  <si>
    <t>Voluntary Carbon Offsets (VCOs)
Tonnes CO2e</t>
  </si>
  <si>
    <t>USA</t>
  </si>
  <si>
    <t>Canada</t>
  </si>
  <si>
    <t>South Africa</t>
  </si>
  <si>
    <t>Brazil</t>
  </si>
  <si>
    <t>Ireland</t>
  </si>
  <si>
    <t>Mexico</t>
  </si>
  <si>
    <t>Netherlands</t>
  </si>
  <si>
    <t>Thailand</t>
  </si>
  <si>
    <t>Malaysia</t>
  </si>
  <si>
    <t>Australia</t>
  </si>
  <si>
    <t>New Zealand</t>
  </si>
  <si>
    <t>Other</t>
  </si>
  <si>
    <t>Reforestation and Afforestation</t>
  </si>
  <si>
    <t>Number of trees planted through Lumber purchased from Certified Sources</t>
  </si>
  <si>
    <t>Number of trees planted through projects</t>
  </si>
  <si>
    <t xml:space="preserve">CO2 kg Sequested through Afforestation </t>
  </si>
  <si>
    <t xml:space="preserve">[1] Carbon dioxide equivalent (CO2-e) is the universal unit of measurement to indicate the full global warming potential (GWP) of a particular greenhouse gas emission. It takes into account the GWP of each of the six Kyoto greenhouse gases, and expresses </t>
  </si>
  <si>
    <t>[2] Restated using production figure collection method applied in FY17.</t>
  </si>
  <si>
    <t>[3] Estimate of CO2-e generated/energy used by leased and outsourced service centre sites that inspect and repair CHEP pallets.</t>
  </si>
  <si>
    <t>[4] Includes Auto and Pallecon</t>
  </si>
  <si>
    <t>[5] New methodology using TEUs (Transport Equivalent Units) to calculate intensity - refer to supplementary information for more detail</t>
  </si>
  <si>
    <t>[6] These credits are purchased as part of an offering of Carbon Neutral Pallets for our Customers in Europe.  The Tonnes CO2e offset by these credits is not deducted from the Scope 1, 2 or 3 emissions reported centrally</t>
  </si>
  <si>
    <t>[7] As per methodology, EACs are purchased where possible to cover the majority of residual scope 2 emissions.  The remaining scope 2 emissions are offset with high quality verified carbon offsets from Renewable Energy Projects.</t>
  </si>
  <si>
    <t xml:space="preserve">[8] No purchases prior to FY19 &amp; no purchases for IFCO </t>
  </si>
  <si>
    <t>[9] All years prior to FY19 reported 'Location-Based' and 'Market-Based' Scope 2 emissions collectively</t>
  </si>
  <si>
    <t>[10] From FY19 Brambles report GHG Protocol 'Market-based' Scope 2 emissions separately to 'Location-Based' Scope 2 emissions.  'Market-Based' Scope 2 emissions include the purchase of electricity through renewable energy contracts, Renewable Energy Certificates and onsite power generation.  'Location-based' emissions reported cover all electricity that is purchased through a 3rd party supplier and not under a renewable electricity contract/certificate</t>
  </si>
  <si>
    <t>[11] IFCO locations based on FY18 Inscope locations</t>
  </si>
  <si>
    <r>
      <t xml:space="preserve">[12] Terajoules / kilotonnes of Co2e for transport ref GLEC Framework </t>
    </r>
    <r>
      <rPr>
        <b/>
        <sz val="10"/>
        <color rgb="FF000000"/>
        <rFont val="Segoe UI"/>
        <family val="2"/>
      </rPr>
      <t>http://www.smartfreightcentre.org/glec/glec-framework</t>
    </r>
  </si>
  <si>
    <t>[13] Until FY21, carbon credits were purchased in alignment with a calendar year instead of a fiscal year. The number included for FY20 would correspond to the carbon credits purchased during FY20 to cover the calendar year 2019.</t>
  </si>
  <si>
    <t xml:space="preserve">[14] Prior to FY21 The data collection method was manual, where there were data gaps, the volume of detergent was estimated based on percentage reported in the previous year.  From FY21 onwards the process for data collection has improved, using data from procurement spend, however this has meant that it is not possible to split by product type. </t>
  </si>
  <si>
    <t>[15] Pareto methodology requires 5% to be added to total.</t>
  </si>
  <si>
    <t>[16] Renewable electricity includes Energy Attribute Certificates (EACs) purchased</t>
  </si>
  <si>
    <t>[17] Improved estimations for outsource service center emissions from FY20 SBT baselining process.</t>
  </si>
  <si>
    <t xml:space="preserve">[18]  Only one of 
the detergent products purchased included 
palm oil as an ingredient in the surfactant 
base. The supplier of this detergent is a 
member of the Roundtable of Sustainable 
Palm Oil (RSPO). </t>
  </si>
  <si>
    <t>[19] FY21 SBTi Scope 3 figures will be calculated once the FY20 baseline figures have been submitted to SBTi during FY22</t>
  </si>
  <si>
    <t>[20] Terra Joules have been recalculated FY20 for consistency with FY21</t>
  </si>
  <si>
    <t>[21] In FY21 Brambles started a new reporting period with new materiality study including locations in scope that contribute to 95% of Brambles Emissions.  FY20 was therefore re-baselined to take this into account.</t>
  </si>
  <si>
    <t xml:space="preserve">This page is designed to represent individual country/regional data where there is a legislative/reporting need at that level.  </t>
  </si>
  <si>
    <t>Better Planet Detailed View</t>
  </si>
  <si>
    <t>Data complied for selcted individual companies to assist in reporting for specific criteria (e.g. legislation, EcoVadis etc)</t>
  </si>
  <si>
    <t>All FY19 figures in the Annual Sustainability Review are published excluding IFCO since their divestment during the fiscal year.  We have presented IFCO figures up until their divestment for transparency purposes in each table below</t>
  </si>
  <si>
    <t>Kilotonnes (kt) of CO2-e [2] (Scope 1 and 2)</t>
  </si>
  <si>
    <t>FY15</t>
  </si>
  <si>
    <t>Pallets AU</t>
  </si>
  <si>
    <t>Pallets CL</t>
  </si>
  <si>
    <t>Pallets CA</t>
  </si>
  <si>
    <t>Pallets EU (Brambles Enterprises Ltd)</t>
  </si>
  <si>
    <t>Pallets USA</t>
  </si>
  <si>
    <t>Pallets ZA</t>
  </si>
  <si>
    <t>Emissions intensity (kg per unit) [1]</t>
  </si>
  <si>
    <t>IFCO TEU intensity not reported</t>
  </si>
  <si>
    <t>Scope 2</t>
  </si>
  <si>
    <t xml:space="preserve">no plants in scope for Scope 2. </t>
  </si>
  <si>
    <t>revised for target baseline</t>
  </si>
  <si>
    <t xml:space="preserve">FY15 </t>
  </si>
  <si>
    <t>reported</t>
  </si>
  <si>
    <t>Lumber Reclaimed</t>
  </si>
  <si>
    <t>No sites in scope</t>
  </si>
  <si>
    <t>[1] Intensities re-stated using new TEU methodology for all years based on FY19 Like4Like</t>
  </si>
  <si>
    <t>Business Positive</t>
  </si>
  <si>
    <t xml:space="preserve">Sharing and reusing model performance </t>
  </si>
  <si>
    <t>Group employees returning to work after parental leave during the Year (%)</t>
  </si>
  <si>
    <t>Environmental benefits delivered in customers' supply chains</t>
  </si>
  <si>
    <t>Voluntary turnover of employees (%)</t>
  </si>
  <si>
    <t>Customer feedback</t>
  </si>
  <si>
    <t>Total number of employee hires</t>
  </si>
  <si>
    <t xml:space="preserve">People performance - Employee Stats </t>
  </si>
  <si>
    <t>Employee hires by gender (%)</t>
  </si>
  <si>
    <t>Number of employees</t>
  </si>
  <si>
    <t>Employee hires by age group (%)</t>
  </si>
  <si>
    <t>Permanent employees by gender (total) (% male/female)</t>
  </si>
  <si>
    <t>Engagement</t>
  </si>
  <si>
    <t>Permanent employees by gender (management positions) as at 30 June (% male/female)</t>
  </si>
  <si>
    <t>Brambles Injury Frequency Rate (BIFR)</t>
  </si>
  <si>
    <t>Office v Plant ratio (permanent employees) (%)</t>
  </si>
  <si>
    <t>BIFR by gender</t>
  </si>
  <si>
    <t>Employees by employment contract (%)</t>
  </si>
  <si>
    <t>BIFR by segment</t>
  </si>
  <si>
    <t>Employees by employment type (%)</t>
  </si>
  <si>
    <t>Wellbeing</t>
  </si>
  <si>
    <t>Age distribution of permanent employees (%)</t>
  </si>
  <si>
    <t>Inclusion &amp; Diversity</t>
  </si>
  <si>
    <t xml:space="preserve">Male: female salary ratios </t>
  </si>
  <si>
    <t>Education, Training and Development</t>
  </si>
  <si>
    <t>Group employees taking parental leave during the Year (%)</t>
  </si>
  <si>
    <t>Education, training and development days</t>
  </si>
  <si>
    <t>Group employees returning from parental leave during the Year as a percentage of those who took parental leave (%)</t>
  </si>
  <si>
    <t>Responsible Supply Chain</t>
  </si>
  <si>
    <r>
      <t>Environmental benefits delivered in customers' supply chains</t>
    </r>
    <r>
      <rPr>
        <vertAlign val="subscript"/>
        <sz val="12"/>
        <color theme="1"/>
        <rFont val="Calibri"/>
        <family val="2"/>
        <scheme val="minor"/>
      </rPr>
      <t xml:space="preserve"> [1] </t>
    </r>
  </si>
  <si>
    <t>FY19 (exc IFCO) [9]</t>
  </si>
  <si>
    <t>CO2-e saved (tonnes)</t>
  </si>
  <si>
    <t>Number of trees saved</t>
  </si>
  <si>
    <t>Waste eliminated from landfill (tonnes)</t>
  </si>
  <si>
    <t>Food waste eliminated (tonnes)</t>
  </si>
  <si>
    <t>Water saved (m3)</t>
  </si>
  <si>
    <t xml:space="preserve">CO2-e offset (tonnes) </t>
  </si>
  <si>
    <t>Saving from</t>
  </si>
  <si>
    <t>CO2-e offset (tonnes) - carbon neutral products</t>
  </si>
  <si>
    <t xml:space="preserve"> -   </t>
  </si>
  <si>
    <t>Transport collaboration/multimodal programs</t>
  </si>
  <si>
    <t>FY16 [3]</t>
  </si>
  <si>
    <t>Global insights relationship survey</t>
  </si>
  <si>
    <t>FY21*</t>
  </si>
  <si>
    <t>FY20*</t>
  </si>
  <si>
    <t>FY18 [4] (exc IFCO)</t>
  </si>
  <si>
    <t>Individual contacts</t>
  </si>
  <si>
    <t>+9,800</t>
  </si>
  <si>
    <t>+9,300</t>
  </si>
  <si>
    <t>Number of companies represented</t>
  </si>
  <si>
    <t>+5,100</t>
  </si>
  <si>
    <t>+3,700</t>
  </si>
  <si>
    <t>*Due to the pandemic COVID-19, the majority of markets did not launch the Relationship Survey in the last quarter of FY20.</t>
  </si>
  <si>
    <t>People performance  - Employee Stats</t>
  </si>
  <si>
    <t>77.29 / 22.71</t>
  </si>
  <si>
    <t>77.64 / 22.25*</t>
  </si>
  <si>
    <t>77.1 / 22.9</t>
  </si>
  <si>
    <t>76.7 / 23.3</t>
  </si>
  <si>
    <t>77.6 / 22.4</t>
  </si>
  <si>
    <t>77.0 / 23.0</t>
  </si>
  <si>
    <t>79.7 / 20.3</t>
  </si>
  <si>
    <t>80.2/19.8</t>
  </si>
  <si>
    <t>159.40 / 40.60</t>
  </si>
  <si>
    <t>84.64 / 15.10*</t>
  </si>
  <si>
    <t>84.9 / 15.1</t>
  </si>
  <si>
    <t>85.5/14.5</t>
  </si>
  <si>
    <t>85.5 / 14.5</t>
  </si>
  <si>
    <t>89 / 11</t>
  </si>
  <si>
    <t>81.0/19.0</t>
  </si>
  <si>
    <t>147.56 / 52.44</t>
  </si>
  <si>
    <t>73.9 / 26.1</t>
  </si>
  <si>
    <t>72.6 / 27.4</t>
  </si>
  <si>
    <t>73.5/26.5</t>
  </si>
  <si>
    <t>73.5 / 26.5</t>
  </si>
  <si>
    <t>72.8 /27.2</t>
  </si>
  <si>
    <t>70.2/29.8</t>
  </si>
  <si>
    <t>80.10 / 19.90</t>
  </si>
  <si>
    <t>79.3 / 20.7</t>
  </si>
  <si>
    <t>81.0 / 19.0</t>
  </si>
  <si>
    <t>81.6/18.4</t>
  </si>
  <si>
    <t>81.6 / 18.4</t>
  </si>
  <si>
    <t>82.2 / 17.8</t>
  </si>
  <si>
    <t>82.9/17.1</t>
  </si>
  <si>
    <t>72.1 / 27.9</t>
  </si>
  <si>
    <t>71.6 / 28.4</t>
  </si>
  <si>
    <t>72.3 / 27.7</t>
  </si>
  <si>
    <t>73.7/26.3</t>
  </si>
  <si>
    <t>52.53 / 47.47</t>
  </si>
  <si>
    <t>53.4 / 46.6</t>
  </si>
  <si>
    <t>55.5 / 44.5</t>
  </si>
  <si>
    <t>56.5 / 43.5</t>
  </si>
  <si>
    <t>75.0/25.0</t>
  </si>
  <si>
    <t>*Totals not equaling 100 due to some employees' gender being undeclared</t>
  </si>
  <si>
    <t>57.0/43.0</t>
  </si>
  <si>
    <t>68 / 32</t>
  </si>
  <si>
    <t>68.7 / 31.3</t>
  </si>
  <si>
    <t>71.2 / 28.8</t>
  </si>
  <si>
    <t>71.0 / 29.0</t>
  </si>
  <si>
    <t>72.0 / 28.0</t>
  </si>
  <si>
    <t>71.9 / 28.1</t>
  </si>
  <si>
    <t>45.91 / 54.09</t>
  </si>
  <si>
    <t>74.1 / 25.9</t>
  </si>
  <si>
    <t>76.4 / 23.6</t>
  </si>
  <si>
    <t>76.9 / 23.1</t>
  </si>
  <si>
    <t>80.2 / 19.8</t>
  </si>
  <si>
    <t>89.8/10.2</t>
  </si>
  <si>
    <t>34.30 / 65.70</t>
  </si>
  <si>
    <t>67.0 / 33.0</t>
  </si>
  <si>
    <t>69.8 / 30.2</t>
  </si>
  <si>
    <t>71.8 / 28.2</t>
  </si>
  <si>
    <t>71.1 / 28.9</t>
  </si>
  <si>
    <t>73.0/27.0</t>
  </si>
  <si>
    <t>68.20 / 31.80</t>
  </si>
  <si>
    <t>67.3 / 32.7</t>
  </si>
  <si>
    <t>70.2 / 29.8</t>
  </si>
  <si>
    <t>71.5 / 28.5</t>
  </si>
  <si>
    <t>78.1/21.9</t>
  </si>
  <si>
    <t>70.7 / 29.3</t>
  </si>
  <si>
    <t>72.5 / 27.5</t>
  </si>
  <si>
    <t>72.1/27.9</t>
  </si>
  <si>
    <t>62.79 / 37.21</t>
  </si>
  <si>
    <t>65.0 / 35.0</t>
  </si>
  <si>
    <t>67.1 / 32.9</t>
  </si>
  <si>
    <t>66.6 / 33.4</t>
  </si>
  <si>
    <t>68.4 / 31.6</t>
  </si>
  <si>
    <t>77.9/22.1</t>
  </si>
  <si>
    <t>69.2/30.8</t>
  </si>
  <si>
    <t>Office Based</t>
  </si>
  <si>
    <t>Male</t>
  </si>
  <si>
    <t>Female</t>
  </si>
  <si>
    <t>Plant Based</t>
  </si>
  <si>
    <t>Gender</t>
  </si>
  <si>
    <t>Permanent</t>
  </si>
  <si>
    <t>Temporary</t>
  </si>
  <si>
    <t>Full-time</t>
  </si>
  <si>
    <t>Part-time</t>
  </si>
  <si>
    <t>&lt;30</t>
  </si>
  <si>
    <t>30-&lt;35</t>
  </si>
  <si>
    <t>35-&lt;45</t>
  </si>
  <si>
    <t>45-&lt;55</t>
  </si>
  <si>
    <t>55-&lt;65</t>
  </si>
  <si>
    <t>&gt;65</t>
  </si>
  <si>
    <t>Pallets Amercias</t>
  </si>
  <si>
    <t>Split</t>
  </si>
  <si>
    <t>0.86 : 1</t>
  </si>
  <si>
    <t>0.88 : 1</t>
  </si>
  <si>
    <t>0.87 : 1</t>
  </si>
  <si>
    <t>0.91: 1.00</t>
  </si>
  <si>
    <t>Non-management</t>
  </si>
  <si>
    <t>0.90 : 1</t>
  </si>
  <si>
    <t>0.89 : 1</t>
  </si>
  <si>
    <t>0.84 : 1</t>
  </si>
  <si>
    <t>0.83: 1</t>
  </si>
  <si>
    <t>0.89: 1.00</t>
  </si>
  <si>
    <t>Management</t>
  </si>
  <si>
    <t>1.12 : 1</t>
  </si>
  <si>
    <t>1.13 : 1</t>
  </si>
  <si>
    <t>1.10 : 1</t>
  </si>
  <si>
    <t>1.11 : 1</t>
  </si>
  <si>
    <t>1.13: 1</t>
  </si>
  <si>
    <t>1.16: 1.00</t>
  </si>
  <si>
    <t>Group employees returning to work during the Year after parental leave (taken during any year) (%)</t>
  </si>
  <si>
    <t>Corporate [5]</t>
  </si>
  <si>
    <t>Not declared</t>
  </si>
  <si>
    <t>Measure</t>
  </si>
  <si>
    <t>FY18 [6] (inc IFCO)</t>
  </si>
  <si>
    <t>Brambles Engagement Survey participation</t>
  </si>
  <si>
    <t>Brambles Injury Frequency Rate (BIFR) and Lost Time Injury Frequency Rate (LTIFR)</t>
  </si>
  <si>
    <t>Events per million hours worked</t>
  </si>
  <si>
    <t>Brambles Injury Frequency Rate</t>
  </si>
  <si>
    <t>Lost Time Injury Frequency Rate</t>
  </si>
  <si>
    <t>Pallets - Americas</t>
  </si>
  <si>
    <t>Pallets - EMEA</t>
  </si>
  <si>
    <t>Pallets - Asia-Pacific</t>
  </si>
  <si>
    <r>
      <t xml:space="preserve">Pallets </t>
    </r>
    <r>
      <rPr>
        <vertAlign val="subscript"/>
        <sz val="10"/>
        <color rgb="FF000000"/>
        <rFont val="Segoe UI"/>
        <family val="2"/>
      </rPr>
      <t>[7]</t>
    </r>
  </si>
  <si>
    <r>
      <t>Pallets</t>
    </r>
    <r>
      <rPr>
        <vertAlign val="subscript"/>
        <sz val="10"/>
        <color rgb="FF000000"/>
        <rFont val="Segoe UI"/>
        <family val="2"/>
      </rPr>
      <t xml:space="preserve"> [7]</t>
    </r>
  </si>
  <si>
    <r>
      <t>Containers</t>
    </r>
    <r>
      <rPr>
        <vertAlign val="subscript"/>
        <sz val="10"/>
        <color rgb="FF000000"/>
        <rFont val="Segoe UI"/>
        <family val="2"/>
      </rPr>
      <t>[8]</t>
    </r>
  </si>
  <si>
    <t>Metrics</t>
  </si>
  <si>
    <t>Number of initiatives launched</t>
  </si>
  <si>
    <t>Brambles Pulse Survey score (Benchmark: Brambles Score)</t>
  </si>
  <si>
    <t>78:77</t>
  </si>
  <si>
    <t>Brambles Pulse Survey results</t>
  </si>
  <si>
    <t>Pulse Survey Question</t>
  </si>
  <si>
    <t>Leaders value different perspectives (Inclusion) (Benchmark: Brambles Score)</t>
  </si>
  <si>
    <t>74:73</t>
  </si>
  <si>
    <t>I feel comfortable being myself at work (authenticity) (Benchmark: Brambles Score)</t>
  </si>
  <si>
    <t>81:82</t>
  </si>
  <si>
    <t>Education, training and development hours(10&amp;11)</t>
  </si>
  <si>
    <t>Days</t>
  </si>
  <si>
    <t>FY18</t>
  </si>
  <si>
    <t>Education, training and development hours</t>
  </si>
  <si>
    <t>Per employee</t>
  </si>
  <si>
    <t>Per male employee</t>
  </si>
  <si>
    <t>Per female employee</t>
  </si>
  <si>
    <t>Per non-mgt employee</t>
  </si>
  <si>
    <t>Per mgt employee</t>
  </si>
  <si>
    <t>FY17 splits are not reportable as trended average headcount data is only retained for 3 years in Workday to be able to retrospectively produce this.  The data is also not available in legacy files as it is for FY18.</t>
  </si>
  <si>
    <t>Percentage of employees who have completed training session 'Know the Code' &amp; 'Induction'</t>
  </si>
  <si>
    <t>Number of suppliers evaluated by Due Diligence process</t>
  </si>
  <si>
    <t>Number of completed Supplier Acknowledgement Forms</t>
  </si>
  <si>
    <t>Number of speak up complaints received</t>
  </si>
  <si>
    <t>Number of speak up complaints resolved</t>
  </si>
  <si>
    <t>[1] Calculated environmental benefits stated in this diagram are based on estimates from: our independent life cycle analyses (LCA), applied to volumes of the products and regions covered by these LCAs only; andinternal data collection (for multimodal/collaborative transport programs and carbon neutral products).
These represent a conservative estimate of the global environmental benefits of our pooled products for the Year. Further information is provided in our
supplementary information document, available on our website.</t>
  </si>
  <si>
    <t>[2] 2016 LCA savings were re-calculated and restated using the 2017 report. The restatement was performed as the 2017 data was considered to be more accurate estimation of the 2016 performance and the restatement allows a more appropriate comparisons between the measurement periods. See the 2017 supplementary information document, p 5 for more details.</t>
  </si>
  <si>
    <t>[3] 2016 LCA savings were re-calculated and restated using the 2017 report. The restatement was performed as the 2017 data was considered to be more accurate estimation of the 2016 performance and the restatement allows a more appropriate comparisons between the measurement periods. See the 2017 supplementary information document, p 5 for more details.</t>
  </si>
  <si>
    <t>[4] From January 2018 the program survey method has changed from an annual survey to a quarterly schedule.  Figures submitted represted only Q3 &amp; Q4 of FY18 and therefore cannot be compared to the figures from previous years’ surveys.</t>
  </si>
  <si>
    <t>[5] Included Containers Aerospace, Oil &amp; Gas and LeanLogistics Prior to their divestment</t>
  </si>
  <si>
    <t>[6] No BES survey undertaken in FY18</t>
  </si>
  <si>
    <t>[7] For the purposes of safety reporting the Pallets segment includes the CHEP RPCs and Containers operations in Asia-Pacific and South Africa.</t>
  </si>
  <si>
    <t>[8] For the purposes of safety reporting, the Containers segment includes the CHEP Automotive &amp; Industrial Solutions operations in Europe and the Americas, CAPS, CHEP Aerospace Solutions and the CHEP Catalyst &amp; Chemical Containers business.</t>
  </si>
  <si>
    <t>[9] 2019 LCA savings were re-calculated and restated. The restatement was performed in 2020  to remediate an issue with LCA allocation.</t>
  </si>
  <si>
    <t>[10] Prior to FY21, this dataset was reported as days rather than hours.  The reason for the change is the Workday system has better capability to report in hours, this gives a clearer less error prone process</t>
  </si>
  <si>
    <t>[11] Data reported excludes any offline training, figures reported are directly from Brambles Learning Management System (LMS)</t>
  </si>
  <si>
    <t>Communities Positive</t>
  </si>
  <si>
    <t>Food Positive</t>
  </si>
  <si>
    <t xml:space="preserve">Brambles Community Investment </t>
  </si>
  <si>
    <t>Circular Economy Transformation</t>
  </si>
  <si>
    <t>Volunteering Hours</t>
  </si>
  <si>
    <t>Food Positive  - Number of people served</t>
  </si>
  <si>
    <t>Region</t>
  </si>
  <si>
    <t>Number of people trained on circular economy</t>
  </si>
  <si>
    <t>Brambles community investment (US$)</t>
  </si>
  <si>
    <t>FY18 [1] (inc IFCO)</t>
  </si>
  <si>
    <t>Corporate donations and sponsorship</t>
  </si>
  <si>
    <t xml:space="preserve"> $1.477.363 </t>
  </si>
  <si>
    <t xml:space="preserve">In kind donations </t>
  </si>
  <si>
    <t xml:space="preserve"> $3.414.732 </t>
  </si>
  <si>
    <t>Volunteering</t>
  </si>
  <si>
    <t xml:space="preserve"> $518.707 </t>
  </si>
  <si>
    <t>Total US$ Donation</t>
  </si>
  <si>
    <t xml:space="preserve"> $5.410.802 </t>
  </si>
  <si>
    <t>Pre-tax Profit (continuing operations)</t>
  </si>
  <si>
    <t xml:space="preserve"> $686.200.000 </t>
  </si>
  <si>
    <t>% of pre-tax profit</t>
  </si>
  <si>
    <t>Volunteering hours</t>
  </si>
  <si>
    <t>Hours volunteered per employee</t>
  </si>
  <si>
    <t>Total hours</t>
  </si>
  <si>
    <t>*the numbers in FY21&amp;20 have severely been impacted by the lockdowns  implemented worldwide</t>
  </si>
  <si>
    <t>[1] Updated FY18 data where double counting was found during FY19 reporting</t>
  </si>
  <si>
    <t>FY20 (restated)</t>
  </si>
  <si>
    <t xml:space="preserve">        2,307,948 </t>
  </si>
  <si>
    <t xml:space="preserve">        3,168,910 </t>
  </si>
  <si>
    <t>[12] FY20 has been restated due to a more recent LCA study undertaken in the US</t>
  </si>
  <si>
    <t>2. Capital goods *</t>
  </si>
  <si>
    <t>3. Fuel and energy related activities</t>
  </si>
  <si>
    <t>4. Upstream transportation &amp; distribution *</t>
  </si>
  <si>
    <t>5. Waste generated in operations *</t>
  </si>
  <si>
    <t>6. Business travel</t>
  </si>
  <si>
    <t>7. Employee commuting</t>
  </si>
  <si>
    <t>9. Downstream transportation &amp; distribution *</t>
  </si>
  <si>
    <t>10. Processing of sold products *</t>
  </si>
  <si>
    <t>* Included in our validated Science Based Target</t>
  </si>
  <si>
    <t>FY21 [22]</t>
  </si>
  <si>
    <t>1. Purchased goods and services</t>
  </si>
  <si>
    <t>[22] FY21's scope 3 breakdown is unassured as of 20.06.2022 and could be subject to change until it goes through assurance for FY22's sustainability review.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</si>
</sst>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3" formatCode="_-* #,##0.00_-;\-* #,##0.00_-;_-* &quot;-&quot;??_-;_-@_-"/>
    <numFmt numFmtId="164" formatCode="_(* #,##0.00_);_(* \(#,##0.00\);_(* &quot;-&quot;??_);_(@_)"/>
    <numFmt numFmtId="165" formatCode="_(* #,##0_);_(* \(#,##0\);_(* &quot;-&quot;??_);_(@_)"/>
    <numFmt numFmtId="166" formatCode="0.0%"/>
    <numFmt numFmtId="167" formatCode="0.0"/>
    <numFmt numFmtId="168" formatCode="&quot;$&quot;#,##0"/>
    <numFmt numFmtId="169" formatCode="#,##0.0"/>
    <numFmt numFmtId="170" formatCode="#,##0.000"/>
    <numFmt numFmtId="171" formatCode="_(* #,##0.000_);_(* \(#,##0.000\);_(* &quot;-&quot;??_);_(@_)"/>
    <numFmt numFmtId="172" formatCode="0.000"/>
    <numFmt numFmtId="173" formatCode="_-* #,##0_-;\-* #,##0_-;_-* &quot;-&quot;??_-;_-@_-"/>
  </numFmts>
  <fonts count="72" x14ac:knownFonts="1">
    <font>
      <sz val="12"/>
      <color theme="1"/>
      <name val="Calibri"/>
      <family val="2"/>
      <scheme val="minor"/>
    </font>
    <font>
      <sz val="11"/>
      <color theme="1"/>
      <name val="Calibri"/>
      <family val="2"/>
      <scheme val="minor"/>
    </font>
    <font>
      <sz val="12"/>
      <color theme="1"/>
      <name val="Calibri"/>
      <family val="2"/>
      <scheme val="minor"/>
    </font>
    <font>
      <sz val="12"/>
      <color indexed="8"/>
      <name val="Calibri"/>
      <family val="2"/>
    </font>
    <font>
      <u/>
      <sz val="12"/>
      <color indexed="12"/>
      <name val="Calibri"/>
      <family val="2"/>
    </font>
    <font>
      <sz val="10"/>
      <color indexed="8"/>
      <name val="Trebuchet MS"/>
      <family val="2"/>
    </font>
    <font>
      <b/>
      <sz val="10"/>
      <color indexed="8"/>
      <name val="Trebuchet MS"/>
      <family val="2"/>
    </font>
    <font>
      <b/>
      <sz val="10"/>
      <color indexed="9"/>
      <name val="Trebuchet MS"/>
      <family val="2"/>
    </font>
    <font>
      <sz val="8"/>
      <color indexed="55"/>
      <name val="Trebuchet MS"/>
      <family val="2"/>
    </font>
    <font>
      <u/>
      <sz val="12"/>
      <color theme="11"/>
      <name val="Calibri"/>
      <family val="2"/>
      <scheme val="minor"/>
    </font>
    <font>
      <sz val="8"/>
      <color theme="1"/>
      <name val="Arial"/>
      <family val="2"/>
    </font>
    <font>
      <b/>
      <sz val="14"/>
      <color theme="1"/>
      <name val="Trebuchet MS"/>
      <family val="2"/>
    </font>
    <font>
      <sz val="10"/>
      <color theme="1"/>
      <name val="Trebuchet MS"/>
      <family val="2"/>
    </font>
    <font>
      <b/>
      <sz val="10"/>
      <color theme="1"/>
      <name val="Trebuchet MS"/>
      <family val="2"/>
    </font>
    <font>
      <sz val="12"/>
      <name val="Calibri"/>
      <family val="2"/>
      <scheme val="minor"/>
    </font>
    <font>
      <b/>
      <sz val="14"/>
      <color theme="1"/>
      <name val="Segoe UI"/>
      <family val="2"/>
    </font>
    <font>
      <b/>
      <sz val="10"/>
      <color theme="1"/>
      <name val="Segoe UI"/>
      <family val="2"/>
    </font>
    <font>
      <b/>
      <sz val="10"/>
      <name val="Segoe UI"/>
      <family val="2"/>
    </font>
    <font>
      <sz val="10"/>
      <color indexed="8"/>
      <name val="Segoe UI"/>
      <family val="2"/>
    </font>
    <font>
      <sz val="12"/>
      <color theme="1"/>
      <name val="Segoe UI"/>
      <family val="2"/>
    </font>
    <font>
      <b/>
      <sz val="10"/>
      <color indexed="8"/>
      <name val="Segoe UI"/>
      <family val="2"/>
    </font>
    <font>
      <b/>
      <sz val="10"/>
      <color indexed="9"/>
      <name val="Segoe UI"/>
      <family val="2"/>
    </font>
    <font>
      <sz val="10"/>
      <color theme="1"/>
      <name val="Segoe UI"/>
      <family val="2"/>
    </font>
    <font>
      <u/>
      <sz val="12"/>
      <color indexed="12"/>
      <name val="Segoe UI"/>
      <family val="2"/>
    </font>
    <font>
      <sz val="10"/>
      <color theme="1"/>
      <name val="Calibri"/>
      <family val="2"/>
      <scheme val="minor"/>
    </font>
    <font>
      <b/>
      <sz val="32"/>
      <color rgb="FF0076AA"/>
      <name val="Segoe UI"/>
      <family val="2"/>
    </font>
    <font>
      <b/>
      <sz val="18"/>
      <color indexed="8"/>
      <name val="Segoe UI"/>
      <family val="2"/>
    </font>
    <font>
      <sz val="12"/>
      <color indexed="8"/>
      <name val="Segoe UI"/>
      <family val="2"/>
    </font>
    <font>
      <b/>
      <sz val="16"/>
      <color indexed="8"/>
      <name val="Segoe UI"/>
      <family val="2"/>
    </font>
    <font>
      <b/>
      <vertAlign val="superscript"/>
      <sz val="10"/>
      <color indexed="8"/>
      <name val="Segoe UI"/>
      <family val="2"/>
    </font>
    <font>
      <i/>
      <sz val="9"/>
      <color indexed="8"/>
      <name val="Segoe UI"/>
      <family val="2"/>
    </font>
    <font>
      <i/>
      <sz val="9"/>
      <color theme="1"/>
      <name val="Segoe UI"/>
      <family val="2"/>
    </font>
    <font>
      <i/>
      <sz val="9"/>
      <color theme="4"/>
      <name val="Segoe UI"/>
      <family val="2"/>
    </font>
    <font>
      <b/>
      <sz val="14"/>
      <color indexed="8"/>
      <name val="Segoe UI"/>
      <family val="2"/>
    </font>
    <font>
      <sz val="12"/>
      <color indexed="9"/>
      <name val="Segoe UI"/>
      <family val="2"/>
    </font>
    <font>
      <sz val="9"/>
      <color indexed="8"/>
      <name val="Segoe UI"/>
      <family val="2"/>
    </font>
    <font>
      <b/>
      <sz val="12"/>
      <color theme="1"/>
      <name val="Segoe UI"/>
      <family val="2"/>
    </font>
    <font>
      <i/>
      <sz val="8"/>
      <color indexed="8"/>
      <name val="Segoe UI"/>
      <family val="2"/>
    </font>
    <font>
      <b/>
      <sz val="12"/>
      <color rgb="FFFF0000"/>
      <name val="Calibri"/>
      <family val="2"/>
      <scheme val="minor"/>
    </font>
    <font>
      <b/>
      <sz val="12"/>
      <color theme="1"/>
      <name val="Calibri"/>
      <family val="2"/>
      <scheme val="minor"/>
    </font>
    <font>
      <i/>
      <sz val="9"/>
      <color rgb="FFFF0000"/>
      <name val="Calibri"/>
      <family val="2"/>
      <scheme val="minor"/>
    </font>
    <font>
      <sz val="10"/>
      <name val="Segoe UI"/>
      <family val="2"/>
    </font>
    <font>
      <b/>
      <sz val="20"/>
      <color indexed="8"/>
      <name val="Segoe UI"/>
      <family val="2"/>
    </font>
    <font>
      <b/>
      <sz val="12"/>
      <color indexed="8"/>
      <name val="Segoe UI"/>
      <family val="2"/>
    </font>
    <font>
      <b/>
      <u/>
      <sz val="12"/>
      <color indexed="12"/>
      <name val="Calibri"/>
      <family val="2"/>
    </font>
    <font>
      <b/>
      <sz val="12"/>
      <name val="Segoe UI"/>
      <family val="2"/>
    </font>
    <font>
      <sz val="12"/>
      <color theme="1"/>
      <name val="Arial"/>
      <family val="2"/>
    </font>
    <font>
      <sz val="14"/>
      <color theme="1"/>
      <name val="Calibri"/>
      <family val="2"/>
      <scheme val="minor"/>
    </font>
    <font>
      <sz val="14"/>
      <color theme="1"/>
      <name val="Segoe UI"/>
      <family val="2"/>
    </font>
    <font>
      <i/>
      <sz val="11"/>
      <color indexed="8"/>
      <name val="Segoe UI"/>
      <family val="2"/>
    </font>
    <font>
      <b/>
      <sz val="10"/>
      <color theme="1"/>
      <name val="Calibri"/>
      <family val="2"/>
      <scheme val="minor"/>
    </font>
    <font>
      <i/>
      <sz val="10"/>
      <color theme="1"/>
      <name val="Segoe UI"/>
      <family val="2"/>
    </font>
    <font>
      <i/>
      <sz val="12"/>
      <color indexed="8"/>
      <name val="Segoe UI"/>
      <family val="2"/>
    </font>
    <font>
      <sz val="8"/>
      <color indexed="8"/>
      <name val="Segoe UI"/>
      <family val="2"/>
    </font>
    <font>
      <sz val="10"/>
      <color rgb="FF000000"/>
      <name val="Segoe UI"/>
      <family val="2"/>
    </font>
    <font>
      <b/>
      <sz val="10"/>
      <color rgb="FF000000"/>
      <name val="Segoe UI"/>
      <family val="2"/>
    </font>
    <font>
      <sz val="8"/>
      <color theme="1"/>
      <name val="Segoe UI"/>
      <family val="2"/>
    </font>
    <font>
      <sz val="11"/>
      <color rgb="FF000000"/>
      <name val="Calibri"/>
      <family val="2"/>
      <scheme val="minor"/>
    </font>
    <font>
      <sz val="12"/>
      <color rgb="FF000000"/>
      <name val="Segoe UI"/>
      <family val="2"/>
    </font>
    <font>
      <b/>
      <sz val="12"/>
      <color rgb="FF000000"/>
      <name val="Calibri"/>
      <family val="2"/>
      <scheme val="minor"/>
    </font>
    <font>
      <b/>
      <sz val="10"/>
      <color indexed="8"/>
      <name val="Calibri"/>
      <family val="2"/>
    </font>
    <font>
      <sz val="10"/>
      <name val="Calibri"/>
      <family val="2"/>
      <scheme val="minor"/>
    </font>
    <font>
      <b/>
      <sz val="14"/>
      <color theme="1"/>
      <name val="Calibri"/>
      <family val="2"/>
      <scheme val="minor"/>
    </font>
    <font>
      <b/>
      <sz val="11"/>
      <color rgb="FF000000"/>
      <name val="Calibri"/>
      <family val="2"/>
      <scheme val="minor"/>
    </font>
    <font>
      <vertAlign val="subscript"/>
      <sz val="12"/>
      <color theme="1"/>
      <name val="Calibri"/>
      <family val="2"/>
      <scheme val="minor"/>
    </font>
    <font>
      <vertAlign val="subscript"/>
      <sz val="10"/>
      <color rgb="FF000000"/>
      <name val="Segoe UI"/>
      <family val="2"/>
    </font>
    <font>
      <sz val="12"/>
      <color rgb="FF000000"/>
      <name val="Calibri"/>
      <family val="2"/>
    </font>
    <font>
      <i/>
      <sz val="10"/>
      <name val="Segoe UI"/>
      <family val="2"/>
    </font>
    <font>
      <b/>
      <sz val="8"/>
      <name val="Segoe UI"/>
      <family val="2"/>
    </font>
    <font>
      <sz val="12"/>
      <color rgb="FF000000"/>
      <name val="Calibri"/>
      <family val="2"/>
      <scheme val="minor"/>
    </font>
    <font>
      <u/>
      <sz val="11"/>
      <color indexed="12"/>
      <name val="Calibri"/>
      <family val="2"/>
    </font>
    <font>
      <sz val="11"/>
      <color rgb="FF444444"/>
      <name val="Calibri"/>
      <family val="2"/>
      <charset val="1"/>
    </font>
  </fonts>
  <fills count="18">
    <fill>
      <patternFill patternType="none"/>
    </fill>
    <fill>
      <patternFill patternType="gray125"/>
    </fill>
    <fill>
      <patternFill patternType="solid">
        <fgColor theme="0"/>
        <bgColor indexed="64"/>
      </patternFill>
    </fill>
    <fill>
      <patternFill patternType="solid">
        <fgColor rgb="FFFFEEB7"/>
        <bgColor indexed="64"/>
      </patternFill>
    </fill>
    <fill>
      <patternFill patternType="solid">
        <fgColor theme="6" tint="0.79998168889431442"/>
        <bgColor indexed="64"/>
      </patternFill>
    </fill>
    <fill>
      <patternFill patternType="solid">
        <fgColor theme="6"/>
        <bgColor indexed="64"/>
      </patternFill>
    </fill>
    <fill>
      <patternFill patternType="solid">
        <fgColor theme="8"/>
        <bgColor indexed="64"/>
      </patternFill>
    </fill>
    <fill>
      <patternFill patternType="solid">
        <fgColor rgb="FFFFFFFF"/>
        <bgColor indexed="64"/>
      </patternFill>
    </fill>
    <fill>
      <patternFill patternType="solid">
        <fgColor rgb="FFFFFF00"/>
        <bgColor indexed="64"/>
      </patternFill>
    </fill>
    <fill>
      <patternFill patternType="solid">
        <fgColor rgb="FFFFFFFF"/>
        <bgColor rgb="FF000000"/>
      </patternFill>
    </fill>
    <fill>
      <patternFill patternType="solid">
        <fgColor theme="0"/>
        <bgColor rgb="FF000000"/>
      </patternFill>
    </fill>
    <fill>
      <patternFill patternType="solid">
        <fgColor rgb="FF00B050"/>
        <bgColor indexed="64"/>
      </patternFill>
    </fill>
    <fill>
      <patternFill patternType="solid">
        <fgColor rgb="FFFFC000"/>
        <bgColor indexed="64"/>
      </patternFill>
    </fill>
    <fill>
      <patternFill patternType="solid">
        <fgColor rgb="FF00B0F0"/>
        <bgColor indexed="64"/>
      </patternFill>
    </fill>
    <fill>
      <patternFill patternType="solid">
        <fgColor rgb="FFFFEEB7"/>
        <bgColor rgb="FF000000"/>
      </patternFill>
    </fill>
    <fill>
      <patternFill patternType="solid">
        <fgColor rgb="FF00BC55"/>
        <bgColor indexed="64"/>
      </patternFill>
    </fill>
    <fill>
      <patternFill patternType="solid">
        <fgColor rgb="FF92D050"/>
        <bgColor indexed="64"/>
      </patternFill>
    </fill>
    <fill>
      <patternFill patternType="solid">
        <fgColor rgb="FF00B050"/>
        <bgColor rgb="FF000000"/>
      </patternFill>
    </fill>
  </fills>
  <borders count="96">
    <border>
      <left/>
      <right/>
      <top/>
      <bottom/>
      <diagonal/>
    </border>
    <border>
      <left style="medium">
        <color indexed="18"/>
      </left>
      <right style="medium">
        <color indexed="18"/>
      </right>
      <top/>
      <bottom/>
      <diagonal/>
    </border>
    <border>
      <left/>
      <right style="medium">
        <color indexed="18"/>
      </right>
      <top/>
      <bottom/>
      <diagonal/>
    </border>
    <border>
      <left style="medium">
        <color indexed="18"/>
      </left>
      <right/>
      <top/>
      <bottom/>
      <diagonal/>
    </border>
    <border>
      <left style="medium">
        <color theme="6" tint="-0.499984740745262"/>
      </left>
      <right style="medium">
        <color theme="6" tint="-0.499984740745262"/>
      </right>
      <top style="medium">
        <color theme="6" tint="-0.499984740745262"/>
      </top>
      <bottom/>
      <diagonal/>
    </border>
    <border>
      <left style="medium">
        <color theme="6" tint="-0.499984740745262"/>
      </left>
      <right style="medium">
        <color theme="6" tint="-0.499984740745262"/>
      </right>
      <top/>
      <bottom/>
      <diagonal/>
    </border>
    <border>
      <left style="medium">
        <color theme="6" tint="-0.499984740745262"/>
      </left>
      <right style="medium">
        <color theme="6" tint="-0.499984740745262"/>
      </right>
      <top/>
      <bottom style="medium">
        <color theme="6" tint="-0.499984740745262"/>
      </bottom>
      <diagonal/>
    </border>
    <border>
      <left style="medium">
        <color theme="6" tint="-0.499984740745262"/>
      </left>
      <right style="medium">
        <color theme="6" tint="-0.499984740745262"/>
      </right>
      <top style="medium">
        <color theme="6" tint="-0.499984740745262"/>
      </top>
      <bottom style="medium">
        <color theme="6" tint="-0.499984740745262"/>
      </bottom>
      <diagonal/>
    </border>
    <border>
      <left/>
      <right style="medium">
        <color theme="6" tint="-0.499984740745262"/>
      </right>
      <top style="medium">
        <color theme="6" tint="-0.499984740745262"/>
      </top>
      <bottom/>
      <diagonal/>
    </border>
    <border>
      <left/>
      <right style="medium">
        <color theme="6" tint="-0.499984740745262"/>
      </right>
      <top/>
      <bottom/>
      <diagonal/>
    </border>
    <border>
      <left/>
      <right style="medium">
        <color theme="6" tint="-0.499984740745262"/>
      </right>
      <top/>
      <bottom style="medium">
        <color theme="6" tint="-0.499984740745262"/>
      </bottom>
      <diagonal/>
    </border>
    <border>
      <left style="medium">
        <color theme="6" tint="-0.499984740745262"/>
      </left>
      <right/>
      <top/>
      <bottom/>
      <diagonal/>
    </border>
    <border>
      <left style="medium">
        <color theme="6" tint="-0.499984740745262"/>
      </left>
      <right/>
      <top/>
      <bottom style="medium">
        <color theme="6" tint="-0.499984740745262"/>
      </bottom>
      <diagonal/>
    </border>
    <border>
      <left style="medium">
        <color theme="6" tint="-0.499984740745262"/>
      </left>
      <right/>
      <top style="medium">
        <color theme="6" tint="-0.499984740745262"/>
      </top>
      <bottom/>
      <diagonal/>
    </border>
    <border>
      <left/>
      <right/>
      <top style="medium">
        <color theme="6" tint="-0.499984740745262"/>
      </top>
      <bottom/>
      <diagonal/>
    </border>
    <border>
      <left style="medium">
        <color theme="6" tint="-0.24994659260841701"/>
      </left>
      <right style="medium">
        <color theme="6" tint="-0.24994659260841701"/>
      </right>
      <top/>
      <bottom style="medium">
        <color theme="6" tint="-0.24994659260841701"/>
      </bottom>
      <diagonal/>
    </border>
    <border>
      <left style="medium">
        <color theme="6" tint="-0.24994659260841701"/>
      </left>
      <right style="medium">
        <color theme="6" tint="-0.24994659260841701"/>
      </right>
      <top/>
      <bottom/>
      <diagonal/>
    </border>
    <border>
      <left style="medium">
        <color theme="6" tint="-0.24994659260841701"/>
      </left>
      <right style="medium">
        <color theme="6" tint="-0.24994659260841701"/>
      </right>
      <top style="medium">
        <color theme="6" tint="-0.24994659260841701"/>
      </top>
      <bottom/>
      <diagonal/>
    </border>
    <border>
      <left style="medium">
        <color theme="8" tint="-0.499984740745262"/>
      </left>
      <right style="medium">
        <color theme="8" tint="-0.499984740745262"/>
      </right>
      <top/>
      <bottom/>
      <diagonal/>
    </border>
    <border>
      <left style="medium">
        <color theme="8" tint="-0.499984740745262"/>
      </left>
      <right/>
      <top/>
      <bottom/>
      <diagonal/>
    </border>
    <border>
      <left style="medium">
        <color theme="8" tint="-0.499984740745262"/>
      </left>
      <right/>
      <top style="medium">
        <color theme="8" tint="-0.499984740745262"/>
      </top>
      <bottom/>
      <diagonal/>
    </border>
    <border>
      <left style="medium">
        <color theme="8" tint="-0.499984740745262"/>
      </left>
      <right/>
      <top/>
      <bottom style="medium">
        <color theme="8" tint="-0.499984740745262"/>
      </bottom>
      <diagonal/>
    </border>
    <border>
      <left style="medium">
        <color indexed="64"/>
      </left>
      <right/>
      <top style="medium">
        <color indexed="64"/>
      </top>
      <bottom/>
      <diagonal/>
    </border>
    <border>
      <left style="medium">
        <color theme="8" tint="-0.499984740745262"/>
      </left>
      <right style="medium">
        <color theme="8" tint="-0.499984740745262"/>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theme="8" tint="-0.499984740745262"/>
      </left>
      <right style="medium">
        <color theme="8" tint="-0.499984740745262"/>
      </right>
      <top/>
      <bottom style="medium">
        <color indexed="64"/>
      </bottom>
      <diagonal/>
    </border>
    <border>
      <left style="medium">
        <color theme="6" tint="-0.499984740745262"/>
      </left>
      <right style="medium">
        <color theme="6" tint="-0.499984740745262"/>
      </right>
      <top style="medium">
        <color indexed="64"/>
      </top>
      <bottom/>
      <diagonal/>
    </border>
    <border>
      <left style="medium">
        <color theme="6" tint="-0.499984740745262"/>
      </left>
      <right style="medium">
        <color indexed="64"/>
      </right>
      <top style="medium">
        <color indexed="64"/>
      </top>
      <bottom/>
      <diagonal/>
    </border>
    <border>
      <left style="medium">
        <color indexed="64"/>
      </left>
      <right style="medium">
        <color theme="6" tint="-0.499984740745262"/>
      </right>
      <top/>
      <bottom/>
      <diagonal/>
    </border>
    <border>
      <left style="medium">
        <color theme="6" tint="-0.499984740745262"/>
      </left>
      <right style="medium">
        <color indexed="64"/>
      </right>
      <top/>
      <bottom/>
      <diagonal/>
    </border>
    <border>
      <left style="medium">
        <color indexed="64"/>
      </left>
      <right style="medium">
        <color theme="6" tint="-0.499984740745262"/>
      </right>
      <top/>
      <bottom style="medium">
        <color indexed="64"/>
      </bottom>
      <diagonal/>
    </border>
    <border>
      <left style="medium">
        <color theme="6" tint="-0.499984740745262"/>
      </left>
      <right style="medium">
        <color theme="6" tint="-0.499984740745262"/>
      </right>
      <top/>
      <bottom style="medium">
        <color indexed="64"/>
      </bottom>
      <diagonal/>
    </border>
    <border>
      <left style="medium">
        <color theme="6" tint="-0.499984740745262"/>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theme="6" tint="-0.499984740745262"/>
      </left>
      <right/>
      <top style="medium">
        <color theme="6" tint="-0.499984740745262"/>
      </top>
      <bottom style="medium">
        <color theme="6" tint="-0.499984740745262"/>
      </bottom>
      <diagonal/>
    </border>
    <border>
      <left/>
      <right style="medium">
        <color theme="6" tint="-0.499984740745262"/>
      </right>
      <top style="medium">
        <color theme="6" tint="-0.499984740745262"/>
      </top>
      <bottom style="medium">
        <color theme="6" tint="-0.499984740745262"/>
      </bottom>
      <diagonal/>
    </border>
    <border>
      <left style="medium">
        <color indexed="64"/>
      </left>
      <right style="medium">
        <color indexed="64"/>
      </right>
      <top style="medium">
        <color indexed="64"/>
      </top>
      <bottom style="medium">
        <color indexed="64"/>
      </bottom>
      <diagonal/>
    </border>
    <border>
      <left style="medium">
        <color indexed="64"/>
      </left>
      <right style="medium">
        <color rgb="FFFFC000"/>
      </right>
      <top/>
      <bottom/>
      <diagonal/>
    </border>
    <border>
      <left style="medium">
        <color indexed="64"/>
      </left>
      <right style="medium">
        <color rgb="FFFFC000"/>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theme="6" tint="-0.499984740745262"/>
      </right>
      <top style="medium">
        <color indexed="64"/>
      </top>
      <bottom/>
      <diagonal/>
    </border>
    <border>
      <left style="medium">
        <color rgb="FF000000"/>
      </left>
      <right/>
      <top style="medium">
        <color rgb="FF000000"/>
      </top>
      <bottom/>
      <diagonal/>
    </border>
    <border>
      <left style="medium">
        <color rgb="FF000000"/>
      </left>
      <right style="medium">
        <color rgb="FF000000"/>
      </right>
      <top style="medium">
        <color rgb="FF000000"/>
      </top>
      <bottom/>
      <diagonal/>
    </border>
    <border>
      <left style="medium">
        <color rgb="FF000000"/>
      </left>
      <right/>
      <top/>
      <bottom/>
      <diagonal/>
    </border>
    <border>
      <left style="medium">
        <color rgb="FF000000"/>
      </left>
      <right style="medium">
        <color rgb="FF000000"/>
      </right>
      <top/>
      <bottom/>
      <diagonal/>
    </border>
    <border>
      <left/>
      <right style="medium">
        <color theme="6" tint="-0.499984740745262"/>
      </right>
      <top style="medium">
        <color indexed="64"/>
      </top>
      <bottom/>
      <diagonal/>
    </border>
    <border>
      <left/>
      <right style="medium">
        <color theme="6" tint="-0.499984740745262"/>
      </right>
      <top/>
      <bottom style="medium">
        <color indexed="64"/>
      </bottom>
      <diagonal/>
    </border>
    <border>
      <left style="medium">
        <color rgb="FF000000"/>
      </left>
      <right style="medium">
        <color rgb="FF000000"/>
      </right>
      <top/>
      <bottom style="medium">
        <color rgb="FF000000"/>
      </bottom>
      <diagonal/>
    </border>
    <border>
      <left/>
      <right style="medium">
        <color rgb="FF000000"/>
      </right>
      <top style="medium">
        <color indexed="64"/>
      </top>
      <bottom style="medium">
        <color indexed="64"/>
      </bottom>
      <diagonal/>
    </border>
    <border>
      <left/>
      <right style="medium">
        <color rgb="FF000000"/>
      </right>
      <top/>
      <bottom/>
      <diagonal/>
    </border>
    <border>
      <left style="medium">
        <color indexed="64"/>
      </left>
      <right/>
      <top style="medium">
        <color indexed="64"/>
      </top>
      <bottom style="medium">
        <color rgb="FF000000"/>
      </bottom>
      <diagonal/>
    </border>
    <border>
      <left/>
      <right style="medium">
        <color indexed="64"/>
      </right>
      <top style="medium">
        <color indexed="64"/>
      </top>
      <bottom style="medium">
        <color rgb="FF000000"/>
      </bottom>
      <diagonal/>
    </border>
    <border>
      <left style="medium">
        <color rgb="FF000000"/>
      </left>
      <right style="medium">
        <color indexed="64"/>
      </right>
      <top style="medium">
        <color rgb="FF000000"/>
      </top>
      <bottom style="medium">
        <color rgb="FF000000"/>
      </bottom>
      <diagonal/>
    </border>
    <border>
      <left style="medium">
        <color rgb="FF000000"/>
      </left>
      <right/>
      <top style="medium">
        <color rgb="FF000000"/>
      </top>
      <bottom style="medium">
        <color rgb="FF000000"/>
      </bottom>
      <diagonal/>
    </border>
    <border>
      <left style="medium">
        <color indexed="64"/>
      </left>
      <right style="medium">
        <color indexed="64"/>
      </right>
      <top/>
      <bottom style="medium">
        <color rgb="FF000000"/>
      </bottom>
      <diagonal/>
    </border>
    <border>
      <left/>
      <right/>
      <top/>
      <bottom style="medium">
        <color indexed="64"/>
      </bottom>
      <diagonal/>
    </border>
    <border>
      <left style="medium">
        <color rgb="FF525252"/>
      </left>
      <right style="medium">
        <color rgb="FF525252"/>
      </right>
      <top style="medium">
        <color indexed="64"/>
      </top>
      <bottom/>
      <diagonal/>
    </border>
    <border>
      <left style="medium">
        <color rgb="FF525252"/>
      </left>
      <right style="medium">
        <color rgb="FF525252"/>
      </right>
      <top/>
      <bottom/>
      <diagonal/>
    </border>
    <border>
      <left style="medium">
        <color rgb="FF525252"/>
      </left>
      <right style="medium">
        <color rgb="FF525252"/>
      </right>
      <top/>
      <bottom style="medium">
        <color indexed="64"/>
      </bottom>
      <diagonal/>
    </border>
    <border>
      <left style="medium">
        <color indexed="64"/>
      </left>
      <right style="medium">
        <color rgb="FF525252"/>
      </right>
      <top/>
      <bottom/>
      <diagonal/>
    </border>
    <border>
      <left style="medium">
        <color indexed="64"/>
      </left>
      <right style="medium">
        <color rgb="FF525252"/>
      </right>
      <top/>
      <bottom style="medium">
        <color indexed="64"/>
      </bottom>
      <diagonal/>
    </border>
    <border>
      <left style="medium">
        <color rgb="FF525252"/>
      </left>
      <right style="medium">
        <color rgb="FF525252"/>
      </right>
      <top/>
      <bottom style="medium">
        <color rgb="FF525252"/>
      </bottom>
      <diagonal/>
    </border>
    <border>
      <left style="medium">
        <color rgb="FF525252"/>
      </left>
      <right/>
      <top/>
      <bottom/>
      <diagonal/>
    </border>
    <border>
      <left style="medium">
        <color rgb="FF525252"/>
      </left>
      <right/>
      <top/>
      <bottom style="medium">
        <color rgb="FF525252"/>
      </bottom>
      <diagonal/>
    </border>
    <border>
      <left style="medium">
        <color rgb="FF525252"/>
      </left>
      <right style="medium">
        <color rgb="FF525252"/>
      </right>
      <top style="medium">
        <color rgb="FF525252"/>
      </top>
      <bottom/>
      <diagonal/>
    </border>
    <border>
      <left style="thin">
        <color indexed="64"/>
      </left>
      <right style="medium">
        <color theme="6" tint="-0.499984740745262"/>
      </right>
      <top style="thin">
        <color indexed="64"/>
      </top>
      <bottom/>
      <diagonal/>
    </border>
    <border>
      <left style="medium">
        <color theme="6" tint="-0.499984740745262"/>
      </left>
      <right style="medium">
        <color theme="6" tint="-0.499984740745262"/>
      </right>
      <top style="thin">
        <color indexed="64"/>
      </top>
      <bottom/>
      <diagonal/>
    </border>
    <border>
      <left style="medium">
        <color theme="6" tint="-0.499984740745262"/>
      </left>
      <right style="thin">
        <color indexed="64"/>
      </right>
      <top style="thin">
        <color indexed="64"/>
      </top>
      <bottom/>
      <diagonal/>
    </border>
    <border>
      <left style="thin">
        <color indexed="64"/>
      </left>
      <right style="medium">
        <color theme="6" tint="-0.499984740745262"/>
      </right>
      <top/>
      <bottom/>
      <diagonal/>
    </border>
    <border>
      <left style="medium">
        <color theme="6" tint="-0.499984740745262"/>
      </left>
      <right style="thin">
        <color indexed="64"/>
      </right>
      <top/>
      <bottom/>
      <diagonal/>
    </border>
    <border>
      <left style="thin">
        <color indexed="64"/>
      </left>
      <right style="medium">
        <color theme="6" tint="-0.499984740745262"/>
      </right>
      <top/>
      <bottom style="thin">
        <color indexed="64"/>
      </bottom>
      <diagonal/>
    </border>
    <border>
      <left style="medium">
        <color theme="6" tint="-0.499984740745262"/>
      </left>
      <right style="medium">
        <color theme="6" tint="-0.499984740745262"/>
      </right>
      <top/>
      <bottom style="thin">
        <color indexed="64"/>
      </bottom>
      <diagonal/>
    </border>
    <border>
      <left style="medium">
        <color theme="6" tint="-0.499984740745262"/>
      </left>
      <right style="thin">
        <color indexed="64"/>
      </right>
      <top/>
      <bottom style="thin">
        <color indexed="64"/>
      </bottom>
      <diagonal/>
    </border>
    <border>
      <left style="medium">
        <color indexed="64"/>
      </left>
      <right style="medium">
        <color theme="8" tint="-0.499984740745262"/>
      </right>
      <top style="medium">
        <color indexed="64"/>
      </top>
      <bottom/>
      <diagonal/>
    </border>
    <border>
      <left style="medium">
        <color indexed="64"/>
      </left>
      <right style="medium">
        <color theme="8" tint="-0.499984740745262"/>
      </right>
      <top/>
      <bottom style="medium">
        <color indexed="64"/>
      </bottom>
      <diagonal/>
    </border>
    <border>
      <left/>
      <right/>
      <top style="medium">
        <color indexed="64"/>
      </top>
      <bottom/>
      <diagonal/>
    </border>
    <border>
      <left style="medium">
        <color rgb="FFFFC000"/>
      </left>
      <right/>
      <top/>
      <bottom/>
      <diagonal/>
    </border>
    <border>
      <left style="medium">
        <color rgb="FFFFC000"/>
      </left>
      <right/>
      <top/>
      <bottom style="medium">
        <color indexed="64"/>
      </bottom>
      <diagonal/>
    </border>
    <border>
      <left style="thin">
        <color indexed="64"/>
      </left>
      <right style="thin">
        <color indexed="64"/>
      </right>
      <top style="thin">
        <color indexed="64"/>
      </top>
      <bottom style="thin">
        <color indexed="64"/>
      </bottom>
      <diagonal/>
    </border>
    <border>
      <left style="medium">
        <color rgb="FF000000"/>
      </left>
      <right style="medium">
        <color rgb="FF000000"/>
      </right>
      <top/>
      <bottom style="medium">
        <color indexed="64"/>
      </bottom>
      <diagonal/>
    </border>
    <border>
      <left/>
      <right style="medium">
        <color rgb="FF000000"/>
      </right>
      <top/>
      <bottom style="medium">
        <color indexed="64"/>
      </bottom>
      <diagonal/>
    </border>
    <border>
      <left style="medium">
        <color rgb="FF000000"/>
      </left>
      <right style="medium">
        <color indexed="64"/>
      </right>
      <top/>
      <bottom/>
      <diagonal/>
    </border>
    <border>
      <left style="medium">
        <color rgb="FF000000"/>
      </left>
      <right/>
      <top/>
      <bottom style="medium">
        <color indexed="64"/>
      </bottom>
      <diagonal/>
    </border>
    <border>
      <left style="medium">
        <color rgb="FF000000"/>
      </left>
      <right style="medium">
        <color indexed="64"/>
      </right>
      <top/>
      <bottom style="medium">
        <color indexed="64"/>
      </bottom>
      <diagonal/>
    </border>
    <border>
      <left style="medium">
        <color rgb="FF4F6228"/>
      </left>
      <right style="medium">
        <color rgb="FF4F6228"/>
      </right>
      <top/>
      <bottom/>
      <diagonal/>
    </border>
    <border>
      <left style="medium">
        <color rgb="FF4F6228"/>
      </left>
      <right style="medium">
        <color rgb="FF4F6228"/>
      </right>
      <top/>
      <bottom style="medium">
        <color rgb="FF4F6228"/>
      </bottom>
      <diagonal/>
    </border>
    <border>
      <left style="medium">
        <color rgb="FF4F6228"/>
      </left>
      <right style="medium">
        <color rgb="FF4F6228"/>
      </right>
      <top style="medium">
        <color indexed="64"/>
      </top>
      <bottom/>
      <diagonal/>
    </border>
    <border>
      <left style="medium">
        <color rgb="FF4F6228"/>
      </left>
      <right style="medium">
        <color rgb="FF4F6228"/>
      </right>
      <top/>
      <bottom style="medium">
        <color indexed="64"/>
      </bottom>
      <diagonal/>
    </border>
    <border>
      <left/>
      <right style="medium">
        <color theme="6" tint="-0.24994659260841701"/>
      </right>
      <top style="medium">
        <color theme="6" tint="-0.24994659260841701"/>
      </top>
      <bottom/>
      <diagonal/>
    </border>
  </borders>
  <cellStyleXfs count="91">
    <xf numFmtId="0" fontId="0" fillId="0" borderId="0"/>
    <xf numFmtId="164" fontId="2" fillId="0" borderId="0" applyFont="0" applyFill="0" applyBorder="0" applyAlignment="0" applyProtection="0"/>
    <xf numFmtId="0" fontId="4" fillId="0" borderId="0" applyNumberFormat="0" applyFill="0" applyBorder="0" applyAlignment="0" applyProtection="0"/>
    <xf numFmtId="0" fontId="3"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9" fontId="2" fillId="0" borderId="0" applyFon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cellStyleXfs>
  <cellXfs count="949">
    <xf numFmtId="0" fontId="0" fillId="0" borderId="0" xfId="0"/>
    <xf numFmtId="0" fontId="3" fillId="0" borderId="0" xfId="3"/>
    <xf numFmtId="0" fontId="4" fillId="0" borderId="0" xfId="2" applyAlignment="1">
      <alignment vertical="center"/>
    </xf>
    <xf numFmtId="0" fontId="5" fillId="0" borderId="0" xfId="3" applyFont="1" applyAlignment="1">
      <alignment vertical="center"/>
    </xf>
    <xf numFmtId="0" fontId="8" fillId="0" borderId="0" xfId="3" applyFont="1" applyAlignment="1">
      <alignment vertical="center"/>
    </xf>
    <xf numFmtId="3" fontId="5" fillId="0" borderId="0" xfId="3" applyNumberFormat="1" applyFont="1" applyAlignment="1">
      <alignment vertical="center"/>
    </xf>
    <xf numFmtId="0" fontId="0" fillId="0" borderId="0" xfId="0" applyAlignment="1">
      <alignment vertical="top"/>
    </xf>
    <xf numFmtId="0" fontId="14" fillId="2" borderId="0" xfId="0" applyFont="1" applyFill="1"/>
    <xf numFmtId="0" fontId="10" fillId="2" borderId="0" xfId="0" applyFont="1" applyFill="1" applyAlignment="1">
      <alignment vertical="center"/>
    </xf>
    <xf numFmtId="0" fontId="0" fillId="2" borderId="0" xfId="0" applyFill="1"/>
    <xf numFmtId="0" fontId="19" fillId="0" borderId="0" xfId="0" applyFont="1"/>
    <xf numFmtId="0" fontId="21" fillId="0" borderId="0" xfId="3" applyFont="1" applyAlignment="1">
      <alignment horizontal="right" vertical="center" wrapText="1"/>
    </xf>
    <xf numFmtId="0" fontId="20" fillId="0" borderId="0" xfId="3" applyFont="1" applyAlignment="1">
      <alignment vertical="center" wrapText="1"/>
    </xf>
    <xf numFmtId="0" fontId="25" fillId="0" borderId="0" xfId="0" applyFont="1"/>
    <xf numFmtId="0" fontId="3" fillId="4" borderId="0" xfId="3" applyFill="1"/>
    <xf numFmtId="0" fontId="0" fillId="4" borderId="0" xfId="0" applyFill="1"/>
    <xf numFmtId="0" fontId="26" fillId="4" borderId="0" xfId="3" applyFont="1" applyFill="1" applyAlignment="1">
      <alignment vertical="center"/>
    </xf>
    <xf numFmtId="0" fontId="27" fillId="4" borderId="0" xfId="3" applyFont="1" applyFill="1"/>
    <xf numFmtId="0" fontId="28" fillId="4" borderId="0" xfId="3" applyFont="1" applyFill="1" applyAlignment="1">
      <alignment vertical="center"/>
    </xf>
    <xf numFmtId="0" fontId="18" fillId="0" borderId="0" xfId="3" applyFont="1" applyAlignment="1">
      <alignment vertical="center"/>
    </xf>
    <xf numFmtId="0" fontId="27" fillId="0" borderId="0" xfId="3" applyFont="1"/>
    <xf numFmtId="0" fontId="20" fillId="4" borderId="0" xfId="3" applyFont="1" applyFill="1" applyAlignment="1">
      <alignment vertical="center"/>
    </xf>
    <xf numFmtId="0" fontId="18" fillId="0" borderId="5" xfId="3" applyFont="1" applyBorder="1" applyAlignment="1">
      <alignment vertical="center" wrapText="1"/>
    </xf>
    <xf numFmtId="3" fontId="18" fillId="0" borderId="5" xfId="3" applyNumberFormat="1" applyFont="1" applyBorder="1" applyAlignment="1">
      <alignment horizontal="right" vertical="center" wrapText="1"/>
    </xf>
    <xf numFmtId="0" fontId="20" fillId="0" borderId="6" xfId="3" applyFont="1" applyBorder="1" applyAlignment="1">
      <alignment vertical="center" wrapText="1"/>
    </xf>
    <xf numFmtId="3" fontId="20" fillId="0" borderId="6" xfId="3" applyNumberFormat="1" applyFont="1" applyBorder="1" applyAlignment="1">
      <alignment vertical="center" wrapText="1"/>
    </xf>
    <xf numFmtId="3" fontId="20" fillId="0" borderId="6" xfId="3" applyNumberFormat="1" applyFont="1" applyBorder="1" applyAlignment="1">
      <alignment horizontal="right" vertical="center" wrapText="1"/>
    </xf>
    <xf numFmtId="3" fontId="18" fillId="0" borderId="0" xfId="3" applyNumberFormat="1" applyFont="1" applyAlignment="1">
      <alignment vertical="center"/>
    </xf>
    <xf numFmtId="0" fontId="20" fillId="0" borderId="0" xfId="3" applyFont="1" applyAlignment="1">
      <alignment vertical="center"/>
    </xf>
    <xf numFmtId="0" fontId="19" fillId="4" borderId="0" xfId="0" applyFont="1" applyFill="1"/>
    <xf numFmtId="0" fontId="20" fillId="0" borderId="3" xfId="3" applyFont="1" applyBorder="1" applyAlignment="1">
      <alignment vertical="center" wrapText="1"/>
    </xf>
    <xf numFmtId="0" fontId="20" fillId="0" borderId="5" xfId="3" applyFont="1" applyBorder="1" applyAlignment="1">
      <alignment vertical="center" wrapText="1"/>
    </xf>
    <xf numFmtId="9" fontId="18" fillId="0" borderId="5" xfId="3" applyNumberFormat="1" applyFont="1" applyBorder="1" applyAlignment="1">
      <alignment horizontal="left" vertical="center" wrapText="1"/>
    </xf>
    <xf numFmtId="0" fontId="20" fillId="0" borderId="4" xfId="3" applyFont="1" applyBorder="1" applyAlignment="1">
      <alignment vertical="center" wrapText="1"/>
    </xf>
    <xf numFmtId="9" fontId="20" fillId="0" borderId="4" xfId="3" applyNumberFormat="1" applyFont="1" applyBorder="1" applyAlignment="1">
      <alignment horizontal="center" vertical="center" wrapText="1"/>
    </xf>
    <xf numFmtId="9" fontId="18" fillId="0" borderId="5" xfId="3" applyNumberFormat="1" applyFont="1" applyBorder="1" applyAlignment="1">
      <alignment horizontal="center" vertical="center" wrapText="1"/>
    </xf>
    <xf numFmtId="0" fontId="18" fillId="0" borderId="6" xfId="3" applyFont="1" applyBorder="1" applyAlignment="1">
      <alignment vertical="center" wrapText="1"/>
    </xf>
    <xf numFmtId="9" fontId="18" fillId="0" borderId="6" xfId="3" applyNumberFormat="1" applyFont="1" applyBorder="1" applyAlignment="1">
      <alignment horizontal="left" vertical="center" wrapText="1"/>
    </xf>
    <xf numFmtId="9" fontId="18" fillId="0" borderId="6" xfId="3" applyNumberFormat="1" applyFont="1" applyBorder="1" applyAlignment="1">
      <alignment horizontal="center" vertical="center" wrapText="1"/>
    </xf>
    <xf numFmtId="9" fontId="20" fillId="0" borderId="5" xfId="3" applyNumberFormat="1" applyFont="1" applyBorder="1" applyAlignment="1">
      <alignment horizontal="center" vertical="center" wrapText="1"/>
    </xf>
    <xf numFmtId="10" fontId="27" fillId="0" borderId="0" xfId="3" applyNumberFormat="1" applyFont="1"/>
    <xf numFmtId="9" fontId="20" fillId="0" borderId="0" xfId="3" applyNumberFormat="1" applyFont="1" applyAlignment="1">
      <alignment horizontal="right" vertical="center" wrapText="1"/>
    </xf>
    <xf numFmtId="0" fontId="27" fillId="0" borderId="0" xfId="3" applyFont="1" applyAlignment="1">
      <alignment wrapText="1"/>
    </xf>
    <xf numFmtId="0" fontId="20" fillId="0" borderId="1" xfId="3" applyFont="1" applyBorder="1" applyAlignment="1">
      <alignment vertical="center" wrapText="1"/>
    </xf>
    <xf numFmtId="0" fontId="18" fillId="0" borderId="2" xfId="3" applyFont="1" applyBorder="1" applyAlignment="1">
      <alignment vertical="center" wrapText="1"/>
    </xf>
    <xf numFmtId="9" fontId="18" fillId="0" borderId="0" xfId="3" applyNumberFormat="1" applyFont="1" applyAlignment="1">
      <alignment vertical="center"/>
    </xf>
    <xf numFmtId="0" fontId="28" fillId="0" borderId="0" xfId="3" applyFont="1" applyAlignment="1">
      <alignment vertical="center"/>
    </xf>
    <xf numFmtId="0" fontId="32" fillId="0" borderId="0" xfId="3" applyFont="1" applyAlignment="1">
      <alignment vertical="center"/>
    </xf>
    <xf numFmtId="4" fontId="18" fillId="0" borderId="0" xfId="3" applyNumberFormat="1" applyFont="1" applyAlignment="1">
      <alignment vertical="center"/>
    </xf>
    <xf numFmtId="4" fontId="27" fillId="0" borderId="0" xfId="3" applyNumberFormat="1" applyFont="1"/>
    <xf numFmtId="0" fontId="33" fillId="0" borderId="0" xfId="3" applyFont="1" applyAlignment="1">
      <alignment vertical="center"/>
    </xf>
    <xf numFmtId="164" fontId="18" fillId="0" borderId="2" xfId="1" applyFont="1" applyBorder="1" applyAlignment="1">
      <alignment horizontal="right" vertical="center" wrapText="1"/>
    </xf>
    <xf numFmtId="0" fontId="34" fillId="0" borderId="0" xfId="3" applyFont="1"/>
    <xf numFmtId="0" fontId="27" fillId="0" borderId="0" xfId="3" applyFont="1" applyAlignment="1">
      <alignment vertical="center"/>
    </xf>
    <xf numFmtId="164" fontId="27" fillId="0" borderId="0" xfId="3" applyNumberFormat="1" applyFont="1"/>
    <xf numFmtId="0" fontId="20" fillId="0" borderId="0" xfId="3" applyFont="1" applyAlignment="1">
      <alignment horizontal="right" vertical="center" wrapText="1"/>
    </xf>
    <xf numFmtId="0" fontId="21" fillId="0" borderId="0" xfId="3" applyFont="1" applyAlignment="1">
      <alignment vertical="center" wrapText="1"/>
    </xf>
    <xf numFmtId="0" fontId="19" fillId="0" borderId="0" xfId="0" applyFont="1" applyAlignment="1">
      <alignment horizontal="left" vertical="top" wrapText="1"/>
    </xf>
    <xf numFmtId="3" fontId="20" fillId="0" borderId="0" xfId="3" applyNumberFormat="1" applyFont="1" applyAlignment="1">
      <alignment vertical="center" wrapText="1"/>
    </xf>
    <xf numFmtId="3" fontId="18" fillId="0" borderId="0" xfId="3" applyNumberFormat="1" applyFont="1" applyAlignment="1">
      <alignment horizontal="right" vertical="center" wrapText="1"/>
    </xf>
    <xf numFmtId="3" fontId="18" fillId="0" borderId="0" xfId="3" applyNumberFormat="1" applyFont="1" applyAlignment="1">
      <alignment vertical="center" wrapText="1"/>
    </xf>
    <xf numFmtId="3" fontId="20" fillId="0" borderId="5" xfId="3" applyNumberFormat="1" applyFont="1" applyBorder="1" applyAlignment="1">
      <alignment horizontal="right" vertical="center" wrapText="1"/>
    </xf>
    <xf numFmtId="3" fontId="18" fillId="0" borderId="6" xfId="3" applyNumberFormat="1" applyFont="1" applyBorder="1" applyAlignment="1">
      <alignment horizontal="right" vertical="center" wrapText="1"/>
    </xf>
    <xf numFmtId="3" fontId="18" fillId="0" borderId="9" xfId="3" applyNumberFormat="1" applyFont="1" applyBorder="1" applyAlignment="1">
      <alignment horizontal="right" vertical="center" wrapText="1"/>
    </xf>
    <xf numFmtId="3" fontId="20" fillId="0" borderId="4" xfId="3" applyNumberFormat="1" applyFont="1" applyBorder="1" applyAlignment="1">
      <alignment horizontal="right" vertical="center" wrapText="1"/>
    </xf>
    <xf numFmtId="9" fontId="18" fillId="0" borderId="5" xfId="8" applyFont="1" applyBorder="1" applyAlignment="1">
      <alignment vertical="center" wrapText="1"/>
    </xf>
    <xf numFmtId="9" fontId="18" fillId="0" borderId="5" xfId="3" applyNumberFormat="1" applyFont="1" applyBorder="1" applyAlignment="1">
      <alignment vertical="center" wrapText="1"/>
    </xf>
    <xf numFmtId="9" fontId="18" fillId="0" borderId="6" xfId="8" applyFont="1" applyBorder="1" applyAlignment="1">
      <alignment vertical="center" wrapText="1"/>
    </xf>
    <xf numFmtId="9" fontId="18" fillId="0" borderId="6" xfId="3" applyNumberFormat="1" applyFont="1" applyBorder="1" applyAlignment="1">
      <alignment vertical="center" wrapText="1"/>
    </xf>
    <xf numFmtId="0" fontId="30" fillId="0" borderId="0" xfId="3" applyFont="1" applyAlignment="1">
      <alignment vertical="center" wrapText="1"/>
    </xf>
    <xf numFmtId="0" fontId="0" fillId="0" borderId="5" xfId="0" applyBorder="1"/>
    <xf numFmtId="3" fontId="18" fillId="0" borderId="11" xfId="3" applyNumberFormat="1" applyFont="1" applyBorder="1" applyAlignment="1">
      <alignment horizontal="right" vertical="center" wrapText="1"/>
    </xf>
    <xf numFmtId="3" fontId="20" fillId="0" borderId="12" xfId="3" applyNumberFormat="1" applyFont="1" applyBorder="1" applyAlignment="1">
      <alignment vertical="center" wrapText="1"/>
    </xf>
    <xf numFmtId="165" fontId="31" fillId="0" borderId="0" xfId="1" applyNumberFormat="1" applyFont="1"/>
    <xf numFmtId="3" fontId="20" fillId="0" borderId="10" xfId="3" applyNumberFormat="1" applyFont="1" applyBorder="1" applyAlignment="1">
      <alignment vertical="center" wrapText="1"/>
    </xf>
    <xf numFmtId="4" fontId="18" fillId="0" borderId="5" xfId="3" applyNumberFormat="1" applyFont="1" applyBorder="1" applyAlignment="1">
      <alignment horizontal="right" vertical="center" wrapText="1"/>
    </xf>
    <xf numFmtId="0" fontId="19" fillId="0" borderId="5" xfId="0" applyFont="1" applyBorder="1"/>
    <xf numFmtId="4" fontId="20" fillId="0" borderId="6" xfId="3" applyNumberFormat="1" applyFont="1" applyBorder="1" applyAlignment="1">
      <alignment horizontal="right" vertical="center" wrapText="1"/>
    </xf>
    <xf numFmtId="0" fontId="19" fillId="0" borderId="14" xfId="0" applyFont="1" applyBorder="1"/>
    <xf numFmtId="0" fontId="0" fillId="0" borderId="14" xfId="0" applyBorder="1"/>
    <xf numFmtId="0" fontId="19" fillId="0" borderId="8" xfId="0" applyFont="1" applyBorder="1"/>
    <xf numFmtId="4" fontId="18" fillId="0" borderId="11" xfId="3" applyNumberFormat="1" applyFont="1" applyBorder="1" applyAlignment="1">
      <alignment horizontal="right" vertical="center" wrapText="1"/>
    </xf>
    <xf numFmtId="4" fontId="20" fillId="0" borderId="12" xfId="3" applyNumberFormat="1" applyFont="1" applyBorder="1" applyAlignment="1">
      <alignment horizontal="right" vertical="center" wrapText="1"/>
    </xf>
    <xf numFmtId="4" fontId="18" fillId="0" borderId="5" xfId="3" applyNumberFormat="1" applyFont="1" applyBorder="1" applyAlignment="1">
      <alignment vertical="center" wrapText="1"/>
    </xf>
    <xf numFmtId="4" fontId="20" fillId="0" borderId="6" xfId="3" applyNumberFormat="1" applyFont="1" applyBorder="1" applyAlignment="1">
      <alignment vertical="center" wrapText="1"/>
    </xf>
    <xf numFmtId="0" fontId="18" fillId="0" borderId="16" xfId="3" applyFont="1" applyBorder="1" applyAlignment="1">
      <alignment vertical="center" wrapText="1"/>
    </xf>
    <xf numFmtId="0" fontId="18" fillId="0" borderId="15" xfId="3" applyFont="1" applyBorder="1" applyAlignment="1">
      <alignment vertical="center" wrapText="1"/>
    </xf>
    <xf numFmtId="164" fontId="20" fillId="0" borderId="4" xfId="1" applyFont="1" applyBorder="1" applyAlignment="1">
      <alignment horizontal="right" vertical="center" wrapText="1"/>
    </xf>
    <xf numFmtId="164" fontId="20" fillId="0" borderId="5" xfId="1" applyFont="1" applyBorder="1" applyAlignment="1">
      <alignment horizontal="right" vertical="center" wrapText="1"/>
    </xf>
    <xf numFmtId="164" fontId="18" fillId="0" borderId="5" xfId="1" applyFont="1" applyBorder="1" applyAlignment="1">
      <alignment horizontal="right" vertical="center" wrapText="1"/>
    </xf>
    <xf numFmtId="164" fontId="18" fillId="0" borderId="6" xfId="1" applyFont="1" applyBorder="1" applyAlignment="1">
      <alignment horizontal="right" vertical="center" wrapText="1"/>
    </xf>
    <xf numFmtId="9" fontId="18" fillId="0" borderId="16" xfId="3" applyNumberFormat="1" applyFont="1" applyBorder="1" applyAlignment="1">
      <alignment vertical="center" wrapText="1"/>
    </xf>
    <xf numFmtId="9" fontId="18" fillId="0" borderId="15" xfId="8" applyFont="1" applyBorder="1" applyAlignment="1">
      <alignment vertical="center" wrapText="1"/>
    </xf>
    <xf numFmtId="0" fontId="17" fillId="0" borderId="4" xfId="3" applyFont="1" applyBorder="1" applyAlignment="1">
      <alignment horizontal="left" vertical="center" wrapText="1"/>
    </xf>
    <xf numFmtId="4" fontId="20" fillId="0" borderId="4" xfId="3" applyNumberFormat="1" applyFont="1" applyBorder="1" applyAlignment="1">
      <alignment vertical="center" wrapText="1"/>
    </xf>
    <xf numFmtId="43" fontId="20" fillId="0" borderId="4" xfId="3" applyNumberFormat="1" applyFont="1" applyBorder="1" applyAlignment="1">
      <alignment vertical="center" wrapText="1"/>
    </xf>
    <xf numFmtId="0" fontId="19" fillId="0" borderId="6" xfId="0" applyFont="1" applyBorder="1"/>
    <xf numFmtId="2" fontId="18" fillId="0" borderId="6" xfId="3" applyNumberFormat="1" applyFont="1" applyBorder="1" applyAlignment="1">
      <alignment horizontal="right" vertical="center" wrapText="1"/>
    </xf>
    <xf numFmtId="2" fontId="18" fillId="0" borderId="5" xfId="3" applyNumberFormat="1" applyFont="1" applyBorder="1" applyAlignment="1">
      <alignment horizontal="right" vertical="center" wrapText="1"/>
    </xf>
    <xf numFmtId="3" fontId="20" fillId="2" borderId="5" xfId="3" applyNumberFormat="1" applyFont="1" applyFill="1" applyBorder="1" applyAlignment="1">
      <alignment horizontal="right" vertical="center" wrapText="1"/>
    </xf>
    <xf numFmtId="3" fontId="18" fillId="2" borderId="5" xfId="3" applyNumberFormat="1" applyFont="1" applyFill="1" applyBorder="1" applyAlignment="1">
      <alignment horizontal="right" vertical="center" wrapText="1"/>
    </xf>
    <xf numFmtId="3" fontId="20" fillId="0" borderId="5" xfId="3" applyNumberFormat="1" applyFont="1" applyBorder="1" applyAlignment="1">
      <alignment vertical="center" wrapText="1"/>
    </xf>
    <xf numFmtId="3" fontId="18" fillId="2" borderId="5" xfId="3" applyNumberFormat="1" applyFont="1" applyFill="1" applyBorder="1" applyAlignment="1">
      <alignment vertical="center" wrapText="1"/>
    </xf>
    <xf numFmtId="3" fontId="18" fillId="0" borderId="5" xfId="3" applyNumberFormat="1" applyFont="1" applyBorder="1" applyAlignment="1">
      <alignment vertical="center" wrapText="1"/>
    </xf>
    <xf numFmtId="3" fontId="35" fillId="0" borderId="0" xfId="3" applyNumberFormat="1" applyFont="1"/>
    <xf numFmtId="165" fontId="18" fillId="0" borderId="5" xfId="1" applyNumberFormat="1" applyFont="1" applyBorder="1" applyAlignment="1">
      <alignment horizontal="right" vertical="center" wrapText="1"/>
    </xf>
    <xf numFmtId="165" fontId="18" fillId="2" borderId="5" xfId="1" applyNumberFormat="1" applyFont="1" applyFill="1" applyBorder="1" applyAlignment="1">
      <alignment horizontal="right" vertical="center" wrapText="1"/>
    </xf>
    <xf numFmtId="0" fontId="19" fillId="2" borderId="0" xfId="0" applyFont="1" applyFill="1"/>
    <xf numFmtId="0" fontId="36" fillId="2" borderId="0" xfId="0" applyFont="1" applyFill="1" applyAlignment="1">
      <alignment vertical="center"/>
    </xf>
    <xf numFmtId="168" fontId="20" fillId="2" borderId="18" xfId="3" applyNumberFormat="1" applyFont="1" applyFill="1" applyBorder="1" applyAlignment="1">
      <alignment horizontal="right" vertical="center" wrapText="1"/>
    </xf>
    <xf numFmtId="168" fontId="18" fillId="2" borderId="18" xfId="3" applyNumberFormat="1" applyFont="1" applyFill="1" applyBorder="1" applyAlignment="1">
      <alignment horizontal="right" vertical="center" wrapText="1"/>
    </xf>
    <xf numFmtId="0" fontId="22" fillId="2" borderId="0" xfId="0" applyFont="1" applyFill="1" applyAlignment="1">
      <alignment vertical="center"/>
    </xf>
    <xf numFmtId="10" fontId="19" fillId="2" borderId="0" xfId="0" applyNumberFormat="1" applyFont="1" applyFill="1"/>
    <xf numFmtId="0" fontId="36" fillId="0" borderId="0" xfId="0" applyFont="1" applyAlignment="1">
      <alignment vertical="center"/>
    </xf>
    <xf numFmtId="0" fontId="16" fillId="2" borderId="0" xfId="0" applyFont="1" applyFill="1" applyAlignment="1">
      <alignment vertical="center"/>
    </xf>
    <xf numFmtId="0" fontId="22" fillId="2" borderId="0" xfId="0" applyFont="1" applyFill="1" applyAlignment="1">
      <alignment vertical="center" wrapText="1"/>
    </xf>
    <xf numFmtId="0" fontId="18" fillId="2" borderId="0" xfId="3" applyFont="1" applyFill="1" applyAlignment="1">
      <alignment vertical="center" wrapText="1"/>
    </xf>
    <xf numFmtId="167" fontId="6" fillId="2" borderId="0" xfId="3" applyNumberFormat="1" applyFont="1" applyFill="1" applyAlignment="1">
      <alignment horizontal="right" vertical="center" wrapText="1"/>
    </xf>
    <xf numFmtId="167" fontId="5" fillId="2" borderId="0" xfId="3" applyNumberFormat="1" applyFont="1" applyFill="1" applyAlignment="1">
      <alignment horizontal="right" vertical="center" wrapText="1"/>
    </xf>
    <xf numFmtId="167" fontId="22" fillId="2" borderId="0" xfId="0" applyNumberFormat="1" applyFont="1" applyFill="1" applyAlignment="1">
      <alignment horizontal="right" vertical="center" wrapText="1"/>
    </xf>
    <xf numFmtId="0" fontId="7" fillId="2" borderId="0" xfId="3" applyFont="1" applyFill="1" applyAlignment="1">
      <alignment horizontal="right" vertical="center" wrapText="1"/>
    </xf>
    <xf numFmtId="169" fontId="18" fillId="2" borderId="0" xfId="3" applyNumberFormat="1" applyFont="1" applyFill="1" applyAlignment="1">
      <alignment horizontal="right" vertical="center" wrapText="1"/>
    </xf>
    <xf numFmtId="3" fontId="22" fillId="2" borderId="0" xfId="0" applyNumberFormat="1" applyFont="1" applyFill="1" applyAlignment="1">
      <alignment vertical="center" wrapText="1"/>
    </xf>
    <xf numFmtId="0" fontId="23" fillId="2" borderId="0" xfId="2" applyFont="1" applyFill="1" applyAlignment="1">
      <alignment vertical="center" wrapText="1"/>
    </xf>
    <xf numFmtId="0" fontId="13" fillId="2" borderId="0" xfId="0" applyFont="1" applyFill="1" applyAlignment="1">
      <alignment vertical="center"/>
    </xf>
    <xf numFmtId="0" fontId="0" fillId="7" borderId="0" xfId="0" applyFill="1"/>
    <xf numFmtId="0" fontId="17" fillId="6" borderId="23" xfId="3" applyFont="1" applyFill="1" applyBorder="1" applyAlignment="1">
      <alignment horizontal="right" vertical="center" wrapText="1"/>
    </xf>
    <xf numFmtId="0" fontId="37" fillId="0" borderId="0" xfId="3" applyFont="1" applyAlignment="1">
      <alignment vertical="center"/>
    </xf>
    <xf numFmtId="9" fontId="27" fillId="0" borderId="0" xfId="3" applyNumberFormat="1" applyFont="1"/>
    <xf numFmtId="0" fontId="38" fillId="2" borderId="0" xfId="0" applyFont="1" applyFill="1" applyAlignment="1">
      <alignment vertical="center"/>
    </xf>
    <xf numFmtId="2" fontId="22" fillId="2" borderId="0" xfId="0" applyNumberFormat="1" applyFont="1" applyFill="1" applyAlignment="1">
      <alignment vertical="center"/>
    </xf>
    <xf numFmtId="3" fontId="22" fillId="2" borderId="0" xfId="0" applyNumberFormat="1" applyFont="1" applyFill="1" applyAlignment="1">
      <alignment horizontal="right" vertical="center" wrapText="1"/>
    </xf>
    <xf numFmtId="1" fontId="39" fillId="0" borderId="6" xfId="0" applyNumberFormat="1" applyFont="1" applyBorder="1"/>
    <xf numFmtId="3" fontId="0" fillId="0" borderId="5" xfId="0" applyNumberFormat="1" applyBorder="1"/>
    <xf numFmtId="3" fontId="39" fillId="0" borderId="6" xfId="0" applyNumberFormat="1" applyFont="1" applyBorder="1"/>
    <xf numFmtId="170" fontId="18" fillId="0" borderId="5" xfId="3" applyNumberFormat="1" applyFont="1" applyBorder="1" applyAlignment="1">
      <alignment horizontal="right" vertical="center" wrapText="1"/>
    </xf>
    <xf numFmtId="170" fontId="20" fillId="0" borderId="12" xfId="3" applyNumberFormat="1" applyFont="1" applyBorder="1" applyAlignment="1">
      <alignment horizontal="right" vertical="center" wrapText="1"/>
    </xf>
    <xf numFmtId="0" fontId="17" fillId="6" borderId="20" xfId="3" applyFont="1" applyFill="1" applyBorder="1" applyAlignment="1">
      <alignment horizontal="center" vertical="center" wrapText="1"/>
    </xf>
    <xf numFmtId="0" fontId="20" fillId="2" borderId="21" xfId="3" applyFont="1" applyFill="1" applyBorder="1" applyAlignment="1">
      <alignment horizontal="left" vertical="center" wrapText="1"/>
    </xf>
    <xf numFmtId="0" fontId="17" fillId="6" borderId="22" xfId="3" applyFont="1" applyFill="1" applyBorder="1" applyAlignment="1">
      <alignment horizontal="center" vertical="center" wrapText="1"/>
    </xf>
    <xf numFmtId="0" fontId="20" fillId="2" borderId="24" xfId="3" applyFont="1" applyFill="1" applyBorder="1" applyAlignment="1">
      <alignment horizontal="left" vertical="center" wrapText="1"/>
    </xf>
    <xf numFmtId="0" fontId="18" fillId="2" borderId="24" xfId="3" applyFont="1" applyFill="1" applyBorder="1" applyAlignment="1">
      <alignment horizontal="left" vertical="center" wrapText="1"/>
    </xf>
    <xf numFmtId="0" fontId="40" fillId="0" borderId="0" xfId="0" applyFont="1" applyAlignment="1">
      <alignment wrapText="1"/>
    </xf>
    <xf numFmtId="0" fontId="41" fillId="2" borderId="24" xfId="3" applyFont="1" applyFill="1" applyBorder="1" applyAlignment="1">
      <alignment horizontal="left" vertical="center" wrapText="1"/>
    </xf>
    <xf numFmtId="0" fontId="20" fillId="2" borderId="25" xfId="3" applyFont="1" applyFill="1" applyBorder="1" applyAlignment="1">
      <alignment horizontal="left" vertical="center" wrapText="1"/>
    </xf>
    <xf numFmtId="10" fontId="20" fillId="0" borderId="26" xfId="3" applyNumberFormat="1" applyFont="1" applyFill="1" applyBorder="1" applyAlignment="1">
      <alignment horizontal="right" vertical="center" wrapText="1"/>
    </xf>
    <xf numFmtId="10" fontId="20" fillId="2" borderId="26" xfId="3" applyNumberFormat="1" applyFont="1" applyFill="1" applyBorder="1" applyAlignment="1">
      <alignment horizontal="right" vertical="center" wrapText="1"/>
    </xf>
    <xf numFmtId="0" fontId="20" fillId="2" borderId="19" xfId="3" applyFont="1" applyFill="1" applyBorder="1" applyAlignment="1">
      <alignment horizontal="left" vertical="center" wrapText="1"/>
    </xf>
    <xf numFmtId="4" fontId="20" fillId="2" borderId="18" xfId="3" applyNumberFormat="1" applyFont="1" applyFill="1" applyBorder="1" applyAlignment="1">
      <alignment horizontal="right" vertical="center" wrapText="1"/>
    </xf>
    <xf numFmtId="0" fontId="4" fillId="0" borderId="0" xfId="2"/>
    <xf numFmtId="0" fontId="0" fillId="0" borderId="0" xfId="0" applyFont="1"/>
    <xf numFmtId="0" fontId="42" fillId="4" borderId="0" xfId="3" applyFont="1" applyFill="1" applyAlignment="1">
      <alignment vertical="center"/>
    </xf>
    <xf numFmtId="0" fontId="33" fillId="4" borderId="0" xfId="3" applyFont="1" applyFill="1" applyAlignment="1">
      <alignment vertical="center"/>
    </xf>
    <xf numFmtId="0" fontId="43" fillId="4" borderId="0" xfId="3" applyFont="1" applyFill="1" applyAlignment="1">
      <alignment vertical="center"/>
    </xf>
    <xf numFmtId="0" fontId="44" fillId="0" borderId="0" xfId="2" applyFont="1"/>
    <xf numFmtId="0" fontId="20" fillId="0" borderId="22" xfId="3" applyFont="1" applyBorder="1" applyAlignment="1">
      <alignment vertical="center" wrapText="1"/>
    </xf>
    <xf numFmtId="0" fontId="20" fillId="0" borderId="27" xfId="3" applyFont="1" applyBorder="1" applyAlignment="1">
      <alignment vertical="center" wrapText="1"/>
    </xf>
    <xf numFmtId="0" fontId="20" fillId="0" borderId="29" xfId="3" applyFont="1" applyBorder="1" applyAlignment="1">
      <alignment vertical="center" wrapText="1"/>
    </xf>
    <xf numFmtId="0" fontId="18" fillId="0" borderId="31" xfId="3" applyFont="1" applyBorder="1" applyAlignment="1">
      <alignment vertical="center" wrapText="1"/>
    </xf>
    <xf numFmtId="9" fontId="18" fillId="0" borderId="32" xfId="3" applyNumberFormat="1" applyFont="1" applyBorder="1" applyAlignment="1">
      <alignment horizontal="left" vertical="center" wrapText="1"/>
    </xf>
    <xf numFmtId="0" fontId="28" fillId="2" borderId="0" xfId="3" applyFont="1" applyFill="1" applyAlignment="1">
      <alignment vertical="center"/>
    </xf>
    <xf numFmtId="0" fontId="27" fillId="2" borderId="0" xfId="3" applyFont="1" applyFill="1"/>
    <xf numFmtId="0" fontId="0" fillId="8" borderId="5" xfId="0" applyFill="1" applyBorder="1"/>
    <xf numFmtId="4" fontId="18" fillId="8" borderId="5" xfId="3" applyNumberFormat="1" applyFont="1" applyFill="1" applyBorder="1" applyAlignment="1">
      <alignment horizontal="right" vertical="center" wrapText="1"/>
    </xf>
    <xf numFmtId="0" fontId="0" fillId="0" borderId="0" xfId="0" applyBorder="1"/>
    <xf numFmtId="0" fontId="18" fillId="0" borderId="35" xfId="3" applyFont="1" applyBorder="1" applyAlignment="1">
      <alignment vertical="center" wrapText="1"/>
    </xf>
    <xf numFmtId="0" fontId="20" fillId="0" borderId="36" xfId="3" applyFont="1" applyBorder="1" applyAlignment="1">
      <alignment vertical="center" wrapText="1"/>
    </xf>
    <xf numFmtId="0" fontId="18" fillId="0" borderId="24" xfId="3" applyFont="1" applyBorder="1" applyAlignment="1">
      <alignment vertical="center" wrapText="1"/>
    </xf>
    <xf numFmtId="0" fontId="20" fillId="0" borderId="25" xfId="3" applyFont="1" applyBorder="1" applyAlignment="1">
      <alignment vertical="center" wrapText="1"/>
    </xf>
    <xf numFmtId="2" fontId="18" fillId="0" borderId="35" xfId="3" applyNumberFormat="1" applyFont="1" applyBorder="1" applyAlignment="1">
      <alignment vertical="center" wrapText="1"/>
    </xf>
    <xf numFmtId="2" fontId="20" fillId="0" borderId="36" xfId="3" applyNumberFormat="1" applyFont="1" applyBorder="1" applyAlignment="1">
      <alignment vertical="center" wrapText="1"/>
    </xf>
    <xf numFmtId="0" fontId="27" fillId="0" borderId="0" xfId="3" applyFont="1" applyBorder="1"/>
    <xf numFmtId="0" fontId="19" fillId="0" borderId="0" xfId="0" applyFont="1" applyBorder="1"/>
    <xf numFmtId="164" fontId="18" fillId="0" borderId="35" xfId="1" applyFont="1" applyBorder="1" applyAlignment="1">
      <alignment vertical="center" wrapText="1"/>
    </xf>
    <xf numFmtId="164" fontId="20" fillId="0" borderId="36" xfId="1" applyFont="1" applyBorder="1" applyAlignment="1">
      <alignment vertical="center" wrapText="1"/>
    </xf>
    <xf numFmtId="0" fontId="39" fillId="0" borderId="36" xfId="0" applyFont="1" applyBorder="1" applyAlignment="1">
      <alignment horizontal="right"/>
    </xf>
    <xf numFmtId="164" fontId="18" fillId="8" borderId="5" xfId="1" applyFont="1" applyFill="1" applyBorder="1" applyAlignment="1">
      <alignment horizontal="right" vertical="center" wrapText="1"/>
    </xf>
    <xf numFmtId="164" fontId="18" fillId="2" borderId="6" xfId="1" applyFont="1" applyFill="1" applyBorder="1" applyAlignment="1">
      <alignment horizontal="right" vertical="center" wrapText="1"/>
    </xf>
    <xf numFmtId="164" fontId="20" fillId="2" borderId="4" xfId="1" applyFont="1" applyFill="1" applyBorder="1" applyAlignment="1">
      <alignment horizontal="right" vertical="center" wrapText="1"/>
    </xf>
    <xf numFmtId="164" fontId="20" fillId="2" borderId="5" xfId="1" applyFont="1" applyFill="1" applyBorder="1" applyAlignment="1">
      <alignment horizontal="right" vertical="center" wrapText="1"/>
    </xf>
    <xf numFmtId="164" fontId="18" fillId="2" borderId="5" xfId="1" applyFont="1" applyFill="1" applyBorder="1" applyAlignment="1">
      <alignment horizontal="right" vertical="center" wrapText="1"/>
    </xf>
    <xf numFmtId="0" fontId="18" fillId="0" borderId="6" xfId="3" applyFont="1" applyFill="1" applyBorder="1" applyAlignment="1">
      <alignment vertical="center" wrapText="1"/>
    </xf>
    <xf numFmtId="3" fontId="18" fillId="0" borderId="6" xfId="3" applyNumberFormat="1" applyFont="1" applyFill="1" applyBorder="1" applyAlignment="1">
      <alignment horizontal="right" vertical="center" wrapText="1"/>
    </xf>
    <xf numFmtId="0" fontId="18" fillId="0" borderId="29" xfId="3" applyFont="1" applyBorder="1" applyAlignment="1">
      <alignment vertical="center" wrapText="1"/>
    </xf>
    <xf numFmtId="0" fontId="20" fillId="0" borderId="31" xfId="3" applyFont="1" applyBorder="1" applyAlignment="1">
      <alignment vertical="center" wrapText="1"/>
    </xf>
    <xf numFmtId="3" fontId="20" fillId="0" borderId="32" xfId="3" applyNumberFormat="1" applyFont="1" applyBorder="1" applyAlignment="1">
      <alignment vertical="center" wrapText="1"/>
    </xf>
    <xf numFmtId="0" fontId="20" fillId="0" borderId="32" xfId="3" applyFont="1" applyBorder="1" applyAlignment="1">
      <alignment vertical="center" wrapText="1"/>
    </xf>
    <xf numFmtId="3" fontId="20" fillId="0" borderId="33" xfId="3" applyNumberFormat="1" applyFont="1" applyBorder="1" applyAlignment="1">
      <alignment vertical="center" wrapText="1"/>
    </xf>
    <xf numFmtId="0" fontId="18" fillId="2" borderId="5" xfId="3" applyFont="1" applyFill="1" applyBorder="1" applyAlignment="1">
      <alignment vertical="center" wrapText="1"/>
    </xf>
    <xf numFmtId="0" fontId="39" fillId="0" borderId="22" xfId="0" applyFont="1" applyBorder="1"/>
    <xf numFmtId="3" fontId="18" fillId="0" borderId="27" xfId="3" applyNumberFormat="1" applyFont="1" applyBorder="1" applyAlignment="1">
      <alignment vertical="center" wrapText="1"/>
    </xf>
    <xf numFmtId="0" fontId="18" fillId="0" borderId="27" xfId="3" applyFont="1" applyBorder="1" applyAlignment="1">
      <alignment vertical="center" wrapText="1"/>
    </xf>
    <xf numFmtId="0" fontId="0" fillId="0" borderId="24" xfId="0" applyBorder="1"/>
    <xf numFmtId="0" fontId="0" fillId="0" borderId="25" xfId="0" applyBorder="1"/>
    <xf numFmtId="165" fontId="18" fillId="2" borderId="27" xfId="1" applyNumberFormat="1" applyFont="1" applyFill="1" applyBorder="1" applyAlignment="1">
      <alignment horizontal="right" vertical="center" wrapText="1"/>
    </xf>
    <xf numFmtId="165" fontId="18" fillId="2" borderId="28" xfId="1" applyNumberFormat="1" applyFont="1" applyFill="1" applyBorder="1" applyAlignment="1">
      <alignment horizontal="right" vertical="center" wrapText="1"/>
    </xf>
    <xf numFmtId="165" fontId="18" fillId="2" borderId="30" xfId="1" applyNumberFormat="1" applyFont="1" applyFill="1" applyBorder="1" applyAlignment="1">
      <alignment horizontal="right" vertical="center" wrapText="1"/>
    </xf>
    <xf numFmtId="0" fontId="18" fillId="2" borderId="27" xfId="3" applyFont="1" applyFill="1" applyBorder="1" applyAlignment="1">
      <alignment vertical="center" wrapText="1"/>
    </xf>
    <xf numFmtId="3" fontId="18" fillId="2" borderId="27" xfId="3" applyNumberFormat="1" applyFont="1" applyFill="1" applyBorder="1" applyAlignment="1">
      <alignment vertical="center" wrapText="1"/>
    </xf>
    <xf numFmtId="165" fontId="18" fillId="0" borderId="30" xfId="1" applyNumberFormat="1" applyFont="1" applyBorder="1" applyAlignment="1">
      <alignment horizontal="right" vertical="center" wrapText="1"/>
    </xf>
    <xf numFmtId="3" fontId="20" fillId="2" borderId="32" xfId="3" applyNumberFormat="1" applyFont="1" applyFill="1" applyBorder="1" applyAlignment="1">
      <alignment vertical="center" wrapText="1"/>
    </xf>
    <xf numFmtId="165" fontId="18" fillId="0" borderId="27" xfId="1" applyNumberFormat="1" applyFont="1" applyBorder="1" applyAlignment="1">
      <alignment horizontal="right" vertical="center" wrapText="1"/>
    </xf>
    <xf numFmtId="165" fontId="18" fillId="0" borderId="28" xfId="1" applyNumberFormat="1" applyFont="1" applyBorder="1" applyAlignment="1">
      <alignment horizontal="right" vertical="center" wrapText="1"/>
    </xf>
    <xf numFmtId="0" fontId="20" fillId="2" borderId="32" xfId="3" applyFont="1" applyFill="1" applyBorder="1" applyAlignment="1">
      <alignment vertical="center" wrapText="1"/>
    </xf>
    <xf numFmtId="3" fontId="20" fillId="2" borderId="33" xfId="3" applyNumberFormat="1" applyFont="1" applyFill="1" applyBorder="1" applyAlignment="1">
      <alignment vertical="center" wrapText="1"/>
    </xf>
    <xf numFmtId="0" fontId="17" fillId="5" borderId="34" xfId="3" applyFont="1" applyFill="1" applyBorder="1" applyAlignment="1">
      <alignment horizontal="left" vertical="center" wrapText="1"/>
    </xf>
    <xf numFmtId="0" fontId="10" fillId="8" borderId="0" xfId="0" applyFont="1" applyFill="1" applyAlignment="1">
      <alignment vertical="center"/>
    </xf>
    <xf numFmtId="0" fontId="10" fillId="0" borderId="0" xfId="0" applyFont="1" applyFill="1" applyAlignment="1">
      <alignment vertical="center"/>
    </xf>
    <xf numFmtId="0" fontId="0" fillId="0" borderId="0" xfId="0" applyFill="1"/>
    <xf numFmtId="0" fontId="16" fillId="0" borderId="0" xfId="0" applyFont="1" applyFill="1" applyAlignment="1">
      <alignment vertical="center"/>
    </xf>
    <xf numFmtId="0" fontId="0" fillId="0" borderId="0" xfId="0" applyFont="1" applyFill="1"/>
    <xf numFmtId="3" fontId="18" fillId="2" borderId="35" xfId="3" applyNumberFormat="1" applyFont="1" applyFill="1" applyBorder="1" applyAlignment="1">
      <alignment horizontal="right" vertical="center" wrapText="1"/>
    </xf>
    <xf numFmtId="3" fontId="18" fillId="2" borderId="35" xfId="3" applyNumberFormat="1" applyFont="1" applyFill="1" applyBorder="1" applyAlignment="1">
      <alignment vertical="center" wrapText="1"/>
    </xf>
    <xf numFmtId="3" fontId="18" fillId="2" borderId="36" xfId="3" applyNumberFormat="1" applyFont="1" applyFill="1" applyBorder="1" applyAlignment="1">
      <alignment horizontal="right" vertical="center" wrapText="1"/>
    </xf>
    <xf numFmtId="0" fontId="20" fillId="2" borderId="35" xfId="3" applyFont="1" applyFill="1" applyBorder="1" applyAlignment="1">
      <alignment vertical="center" wrapText="1"/>
    </xf>
    <xf numFmtId="0" fontId="0" fillId="0" borderId="35" xfId="0" applyBorder="1"/>
    <xf numFmtId="0" fontId="18" fillId="0" borderId="35" xfId="3" applyFont="1" applyFill="1" applyBorder="1" applyAlignment="1">
      <alignment vertical="center" wrapText="1"/>
    </xf>
    <xf numFmtId="3" fontId="20" fillId="2" borderId="35" xfId="3" applyNumberFormat="1" applyFont="1" applyFill="1" applyBorder="1" applyAlignment="1">
      <alignment horizontal="right" vertical="center" wrapText="1"/>
    </xf>
    <xf numFmtId="165" fontId="41" fillId="0" borderId="35" xfId="1" applyNumberFormat="1" applyFont="1" applyFill="1" applyBorder="1" applyAlignment="1">
      <alignment horizontal="right" vertical="center" wrapText="1"/>
    </xf>
    <xf numFmtId="165" fontId="41" fillId="0" borderId="36" xfId="1" applyNumberFormat="1" applyFont="1" applyFill="1" applyBorder="1" applyAlignment="1">
      <alignment horizontal="right" vertical="center" wrapText="1"/>
    </xf>
    <xf numFmtId="0" fontId="20" fillId="2" borderId="34" xfId="3" applyFont="1" applyFill="1" applyBorder="1" applyAlignment="1">
      <alignment vertical="center" wrapText="1"/>
    </xf>
    <xf numFmtId="0" fontId="20" fillId="0" borderId="34" xfId="3" applyFont="1" applyFill="1" applyBorder="1" applyAlignment="1">
      <alignment vertical="center" wrapText="1"/>
    </xf>
    <xf numFmtId="165" fontId="17" fillId="0" borderId="34" xfId="1" applyNumberFormat="1" applyFont="1" applyFill="1" applyBorder="1" applyAlignment="1">
      <alignment horizontal="right" vertical="center" wrapText="1"/>
    </xf>
    <xf numFmtId="0" fontId="20" fillId="2" borderId="36" xfId="3" applyFont="1" applyFill="1" applyBorder="1" applyAlignment="1">
      <alignment vertical="center" wrapText="1"/>
    </xf>
    <xf numFmtId="165" fontId="17" fillId="2" borderId="34" xfId="1" applyNumberFormat="1" applyFont="1" applyFill="1" applyBorder="1" applyAlignment="1">
      <alignment horizontal="right" vertical="center" wrapText="1"/>
    </xf>
    <xf numFmtId="2" fontId="18" fillId="2" borderId="35" xfId="3" applyNumberFormat="1" applyFont="1" applyFill="1" applyBorder="1" applyAlignment="1">
      <alignment horizontal="right" vertical="center" wrapText="1"/>
    </xf>
    <xf numFmtId="2" fontId="22" fillId="2" borderId="36" xfId="0" applyNumberFormat="1" applyFont="1" applyFill="1" applyBorder="1" applyAlignment="1">
      <alignment horizontal="right" vertical="center" wrapText="1"/>
    </xf>
    <xf numFmtId="49" fontId="18" fillId="2" borderId="35" xfId="3" applyNumberFormat="1" applyFont="1" applyFill="1" applyBorder="1" applyAlignment="1">
      <alignment horizontal="right" vertical="center" wrapText="1"/>
    </xf>
    <xf numFmtId="49" fontId="22" fillId="2" borderId="36" xfId="0" applyNumberFormat="1" applyFont="1" applyFill="1" applyBorder="1" applyAlignment="1">
      <alignment horizontal="right" vertical="center" wrapText="1"/>
    </xf>
    <xf numFmtId="3" fontId="22" fillId="2" borderId="36" xfId="0" applyNumberFormat="1" applyFont="1" applyFill="1" applyBorder="1" applyAlignment="1">
      <alignment horizontal="right" vertical="center" wrapText="1"/>
    </xf>
    <xf numFmtId="0" fontId="18" fillId="2" borderId="35" xfId="3" applyFont="1" applyFill="1" applyBorder="1" applyAlignment="1">
      <alignment vertical="center" wrapText="1"/>
    </xf>
    <xf numFmtId="0" fontId="18" fillId="2" borderId="36" xfId="3" applyFont="1" applyFill="1" applyBorder="1" applyAlignment="1">
      <alignment vertical="center" wrapText="1"/>
    </xf>
    <xf numFmtId="3" fontId="16" fillId="2" borderId="35" xfId="0" applyNumberFormat="1" applyFont="1" applyFill="1" applyBorder="1"/>
    <xf numFmtId="3" fontId="22" fillId="2" borderId="35" xfId="0" applyNumberFormat="1" applyFont="1" applyFill="1" applyBorder="1"/>
    <xf numFmtId="3" fontId="22" fillId="2" borderId="36" xfId="0" applyNumberFormat="1" applyFont="1" applyFill="1" applyBorder="1"/>
    <xf numFmtId="0" fontId="18" fillId="2" borderId="24" xfId="3" applyFont="1" applyFill="1" applyBorder="1" applyAlignment="1">
      <alignment vertical="center" wrapText="1"/>
    </xf>
    <xf numFmtId="0" fontId="18" fillId="2" borderId="0" xfId="3" applyFont="1" applyFill="1" applyBorder="1" applyAlignment="1">
      <alignment vertical="center" wrapText="1"/>
    </xf>
    <xf numFmtId="0" fontId="18" fillId="2" borderId="25" xfId="3" applyFont="1" applyFill="1" applyBorder="1" applyAlignment="1">
      <alignment vertical="center" wrapText="1"/>
    </xf>
    <xf numFmtId="0" fontId="16" fillId="2" borderId="35" xfId="0" applyFont="1" applyFill="1" applyBorder="1" applyAlignment="1">
      <alignment horizontal="right"/>
    </xf>
    <xf numFmtId="0" fontId="22" fillId="2" borderId="35" xfId="0" applyFont="1" applyFill="1" applyBorder="1" applyAlignment="1">
      <alignment horizontal="right"/>
    </xf>
    <xf numFmtId="0" fontId="22" fillId="2" borderId="36" xfId="0" applyFont="1" applyFill="1" applyBorder="1" applyAlignment="1">
      <alignment horizontal="right"/>
    </xf>
    <xf numFmtId="3" fontId="20" fillId="2" borderId="24" xfId="3" applyNumberFormat="1" applyFont="1" applyFill="1" applyBorder="1" applyAlignment="1">
      <alignment horizontal="right" vertical="center" wrapText="1"/>
    </xf>
    <xf numFmtId="3" fontId="18" fillId="2" borderId="24" xfId="3" applyNumberFormat="1" applyFont="1" applyFill="1" applyBorder="1" applyAlignment="1">
      <alignment horizontal="right" vertical="center" wrapText="1"/>
    </xf>
    <xf numFmtId="3" fontId="22" fillId="2" borderId="25" xfId="0" applyNumberFormat="1" applyFont="1" applyFill="1" applyBorder="1" applyAlignment="1">
      <alignment horizontal="right" vertical="center" wrapText="1"/>
    </xf>
    <xf numFmtId="166" fontId="20" fillId="2" borderId="34" xfId="3" applyNumberFormat="1" applyFont="1" applyFill="1" applyBorder="1" applyAlignment="1">
      <alignment horizontal="right" vertical="center" wrapText="1"/>
    </xf>
    <xf numFmtId="10" fontId="18" fillId="2" borderId="35" xfId="3" applyNumberFormat="1" applyFont="1" applyFill="1" applyBorder="1" applyAlignment="1">
      <alignment horizontal="right" vertical="center" wrapText="1"/>
    </xf>
    <xf numFmtId="10" fontId="18" fillId="2" borderId="36" xfId="3" applyNumberFormat="1" applyFont="1" applyFill="1" applyBorder="1" applyAlignment="1">
      <alignment horizontal="right" vertical="center" wrapText="1"/>
    </xf>
    <xf numFmtId="169" fontId="20" fillId="2" borderId="34" xfId="3" applyNumberFormat="1" applyFont="1" applyFill="1" applyBorder="1" applyAlignment="1">
      <alignment horizontal="right" vertical="center" wrapText="1"/>
    </xf>
    <xf numFmtId="166" fontId="18" fillId="2" borderId="35" xfId="3" applyNumberFormat="1" applyFont="1" applyFill="1" applyBorder="1" applyAlignment="1">
      <alignment horizontal="right" vertical="center" wrapText="1"/>
    </xf>
    <xf numFmtId="166" fontId="18" fillId="2" borderId="36" xfId="3" applyNumberFormat="1" applyFont="1" applyFill="1" applyBorder="1" applyAlignment="1">
      <alignment horizontal="right" vertical="center" wrapText="1"/>
    </xf>
    <xf numFmtId="0" fontId="22" fillId="2" borderId="0" xfId="0" applyFont="1" applyFill="1" applyBorder="1" applyAlignment="1">
      <alignment horizontal="right"/>
    </xf>
    <xf numFmtId="4" fontId="16" fillId="2" borderId="35" xfId="0" applyNumberFormat="1" applyFont="1" applyFill="1" applyBorder="1" applyAlignment="1">
      <alignment horizontal="right"/>
    </xf>
    <xf numFmtId="4" fontId="22" fillId="2" borderId="35" xfId="0" applyNumberFormat="1" applyFont="1" applyFill="1" applyBorder="1" applyAlignment="1">
      <alignment horizontal="right"/>
    </xf>
    <xf numFmtId="4" fontId="22" fillId="2" borderId="36" xfId="0" applyNumberFormat="1" applyFont="1" applyFill="1" applyBorder="1" applyAlignment="1">
      <alignment horizontal="right"/>
    </xf>
    <xf numFmtId="169" fontId="18" fillId="2" borderId="43" xfId="3" applyNumberFormat="1" applyFont="1" applyFill="1" applyBorder="1" applyAlignment="1">
      <alignment horizontal="right" vertical="center" wrapText="1"/>
    </xf>
    <xf numFmtId="169" fontId="22" fillId="2" borderId="44" xfId="0" applyNumberFormat="1" applyFont="1" applyFill="1" applyBorder="1" applyAlignment="1">
      <alignment horizontal="right" vertical="center" wrapText="1"/>
    </xf>
    <xf numFmtId="169" fontId="18" fillId="2" borderId="35" xfId="3" applyNumberFormat="1" applyFont="1" applyFill="1" applyBorder="1" applyAlignment="1">
      <alignment horizontal="right" vertical="center" wrapText="1"/>
    </xf>
    <xf numFmtId="169" fontId="22" fillId="2" borderId="36" xfId="0" applyNumberFormat="1" applyFont="1" applyFill="1" applyBorder="1" applyAlignment="1">
      <alignment horizontal="right" vertical="center" wrapText="1"/>
    </xf>
    <xf numFmtId="169" fontId="20" fillId="2" borderId="35" xfId="3" applyNumberFormat="1" applyFont="1" applyFill="1" applyBorder="1" applyAlignment="1">
      <alignment horizontal="right" vertical="center" wrapText="1"/>
    </xf>
    <xf numFmtId="169" fontId="20" fillId="2" borderId="43" xfId="3" applyNumberFormat="1" applyFont="1" applyFill="1" applyBorder="1" applyAlignment="1">
      <alignment horizontal="right" vertical="center" wrapText="1"/>
    </xf>
    <xf numFmtId="0" fontId="20" fillId="2" borderId="24" xfId="3" applyFont="1" applyFill="1" applyBorder="1" applyAlignment="1">
      <alignment vertical="center" wrapText="1"/>
    </xf>
    <xf numFmtId="0" fontId="16" fillId="2" borderId="35" xfId="0" applyFont="1" applyFill="1" applyBorder="1" applyAlignment="1">
      <alignment horizontal="right" vertical="center"/>
    </xf>
    <xf numFmtId="2" fontId="18" fillId="2" borderId="35" xfId="3" applyNumberFormat="1" applyFont="1" applyFill="1" applyBorder="1" applyAlignment="1">
      <alignment vertical="center" wrapText="1"/>
    </xf>
    <xf numFmtId="167" fontId="16" fillId="2" borderId="35" xfId="0" applyNumberFormat="1" applyFont="1" applyFill="1" applyBorder="1"/>
    <xf numFmtId="167" fontId="22" fillId="2" borderId="35" xfId="0" applyNumberFormat="1" applyFont="1" applyFill="1" applyBorder="1"/>
    <xf numFmtId="167" fontId="22" fillId="2" borderId="36" xfId="0" applyNumberFormat="1" applyFont="1" applyFill="1" applyBorder="1"/>
    <xf numFmtId="167" fontId="20" fillId="2" borderId="35" xfId="3" applyNumberFormat="1" applyFont="1" applyFill="1" applyBorder="1" applyAlignment="1">
      <alignment horizontal="right" vertical="center" wrapText="1"/>
    </xf>
    <xf numFmtId="167" fontId="18" fillId="2" borderId="35" xfId="3" applyNumberFormat="1" applyFont="1" applyFill="1" applyBorder="1" applyAlignment="1">
      <alignment vertical="center" wrapText="1"/>
    </xf>
    <xf numFmtId="167" fontId="22" fillId="2" borderId="36" xfId="0" applyNumberFormat="1" applyFont="1" applyFill="1" applyBorder="1" applyAlignment="1">
      <alignment horizontal="right" vertical="center" wrapText="1"/>
    </xf>
    <xf numFmtId="167" fontId="20" fillId="2" borderId="24" xfId="3" applyNumberFormat="1" applyFont="1" applyFill="1" applyBorder="1" applyAlignment="1">
      <alignment horizontal="right" vertical="center" wrapText="1"/>
    </xf>
    <xf numFmtId="167" fontId="18" fillId="2" borderId="24" xfId="3" applyNumberFormat="1" applyFont="1" applyFill="1" applyBorder="1" applyAlignment="1">
      <alignment vertical="center" wrapText="1"/>
    </xf>
    <xf numFmtId="167" fontId="22" fillId="2" borderId="25" xfId="0" applyNumberFormat="1" applyFont="1" applyFill="1" applyBorder="1" applyAlignment="1">
      <alignment horizontal="right" vertical="center" wrapText="1"/>
    </xf>
    <xf numFmtId="166" fontId="18" fillId="2" borderId="35" xfId="3" applyNumberFormat="1" applyFont="1" applyFill="1" applyBorder="1" applyAlignment="1">
      <alignment vertical="center" wrapText="1"/>
    </xf>
    <xf numFmtId="166" fontId="18" fillId="2" borderId="36" xfId="3" applyNumberFormat="1" applyFont="1" applyFill="1" applyBorder="1" applyAlignment="1">
      <alignment vertical="center" wrapText="1"/>
    </xf>
    <xf numFmtId="166" fontId="22" fillId="2" borderId="36" xfId="0" applyNumberFormat="1" applyFont="1" applyFill="1" applyBorder="1" applyAlignment="1">
      <alignment horizontal="right" vertical="center" wrapText="1"/>
    </xf>
    <xf numFmtId="167" fontId="22" fillId="0" borderId="36" xfId="0" applyNumberFormat="1" applyFont="1" applyBorder="1" applyAlignment="1">
      <alignment horizontal="right" vertical="center" wrapText="1"/>
    </xf>
    <xf numFmtId="0" fontId="18" fillId="0" borderId="36" xfId="3" applyFont="1" applyBorder="1" applyAlignment="1">
      <alignment vertical="center" wrapText="1"/>
    </xf>
    <xf numFmtId="0" fontId="20" fillId="2" borderId="22" xfId="3" applyFont="1" applyFill="1" applyBorder="1" applyAlignment="1">
      <alignment vertical="center" wrapText="1"/>
    </xf>
    <xf numFmtId="2" fontId="18" fillId="2" borderId="24" xfId="3" applyNumberFormat="1" applyFont="1" applyFill="1" applyBorder="1" applyAlignment="1">
      <alignment vertical="center" wrapText="1"/>
    </xf>
    <xf numFmtId="2" fontId="20" fillId="2" borderId="34" xfId="3" applyNumberFormat="1" applyFont="1" applyFill="1" applyBorder="1" applyAlignment="1">
      <alignment vertical="center" wrapText="1"/>
    </xf>
    <xf numFmtId="0" fontId="4" fillId="0" borderId="0" xfId="2" applyFill="1" applyAlignment="1">
      <alignment vertical="center"/>
    </xf>
    <xf numFmtId="1" fontId="20" fillId="2" borderId="24" xfId="3" applyNumberFormat="1" applyFont="1" applyFill="1" applyBorder="1" applyAlignment="1">
      <alignment horizontal="right" vertical="center" wrapText="1"/>
    </xf>
    <xf numFmtId="1" fontId="18" fillId="2" borderId="24" xfId="3" applyNumberFormat="1" applyFont="1" applyFill="1" applyBorder="1" applyAlignment="1">
      <alignment vertical="center" wrapText="1"/>
    </xf>
    <xf numFmtId="1" fontId="22" fillId="2" borderId="25" xfId="0" applyNumberFormat="1" applyFont="1" applyFill="1" applyBorder="1" applyAlignment="1">
      <alignment horizontal="right" vertical="center" wrapText="1"/>
    </xf>
    <xf numFmtId="3" fontId="18" fillId="8" borderId="35" xfId="3" applyNumberFormat="1" applyFont="1" applyFill="1" applyBorder="1" applyAlignment="1">
      <alignment horizontal="right" vertical="center" wrapText="1"/>
    </xf>
    <xf numFmtId="3" fontId="18" fillId="8" borderId="36" xfId="3" applyNumberFormat="1" applyFont="1" applyFill="1" applyBorder="1" applyAlignment="1">
      <alignment horizontal="right" vertical="center" wrapText="1"/>
    </xf>
    <xf numFmtId="16" fontId="0" fillId="2" borderId="0" xfId="0" applyNumberFormat="1" applyFill="1"/>
    <xf numFmtId="0" fontId="24" fillId="0" borderId="0" xfId="0" applyFont="1" applyFill="1" applyAlignment="1">
      <alignment vertical="top" wrapText="1"/>
    </xf>
    <xf numFmtId="0" fontId="0" fillId="0" borderId="0" xfId="0" applyFill="1" applyAlignment="1">
      <alignment horizontal="left" vertical="top"/>
    </xf>
    <xf numFmtId="0" fontId="24" fillId="0" borderId="0" xfId="0" applyFont="1" applyFill="1" applyAlignment="1">
      <alignment horizontal="left" vertical="top"/>
    </xf>
    <xf numFmtId="0" fontId="24" fillId="0" borderId="0" xfId="0" applyFont="1" applyFill="1" applyAlignment="1">
      <alignment vertical="top"/>
    </xf>
    <xf numFmtId="4" fontId="18" fillId="0" borderId="5" xfId="3" applyNumberFormat="1" applyFont="1" applyFill="1" applyBorder="1" applyAlignment="1">
      <alignment horizontal="right" vertical="center" wrapText="1"/>
    </xf>
    <xf numFmtId="0" fontId="18" fillId="0" borderId="0" xfId="3" applyFont="1" applyFill="1"/>
    <xf numFmtId="0" fontId="22" fillId="0" borderId="0" xfId="0" applyFont="1" applyFill="1"/>
    <xf numFmtId="0" fontId="20" fillId="0" borderId="0" xfId="3" applyFont="1" applyBorder="1" applyAlignment="1">
      <alignment vertical="center" wrapText="1"/>
    </xf>
    <xf numFmtId="0" fontId="39" fillId="0" borderId="0" xfId="0" applyFont="1" applyBorder="1" applyAlignment="1">
      <alignment horizontal="right"/>
    </xf>
    <xf numFmtId="0" fontId="39" fillId="0" borderId="36" xfId="0" applyFont="1" applyFill="1" applyBorder="1" applyAlignment="1">
      <alignment horizontal="right"/>
    </xf>
    <xf numFmtId="171" fontId="20" fillId="2" borderId="4" xfId="1" applyNumberFormat="1" applyFont="1" applyFill="1" applyBorder="1" applyAlignment="1">
      <alignment horizontal="right" vertical="center" wrapText="1"/>
    </xf>
    <xf numFmtId="0" fontId="20" fillId="0" borderId="13" xfId="3" applyFont="1" applyBorder="1" applyAlignment="1">
      <alignment vertical="center" wrapText="1"/>
    </xf>
    <xf numFmtId="0" fontId="20" fillId="0" borderId="11" xfId="3" applyFont="1" applyBorder="1" applyAlignment="1">
      <alignment vertical="center" wrapText="1"/>
    </xf>
    <xf numFmtId="0" fontId="18" fillId="0" borderId="47" xfId="3" applyFont="1" applyBorder="1" applyAlignment="1">
      <alignment vertical="center" wrapText="1"/>
    </xf>
    <xf numFmtId="164" fontId="18" fillId="8" borderId="27" xfId="1" applyFont="1" applyFill="1" applyBorder="1" applyAlignment="1">
      <alignment horizontal="right" vertical="center" wrapText="1"/>
    </xf>
    <xf numFmtId="164" fontId="18" fillId="8" borderId="28" xfId="1" applyFont="1" applyFill="1" applyBorder="1" applyAlignment="1">
      <alignment horizontal="right" vertical="center" wrapText="1"/>
    </xf>
    <xf numFmtId="164" fontId="18" fillId="8" borderId="30" xfId="1" applyFont="1" applyFill="1" applyBorder="1" applyAlignment="1">
      <alignment horizontal="right" vertical="center" wrapText="1"/>
    </xf>
    <xf numFmtId="164" fontId="18" fillId="8" borderId="32" xfId="1" applyFont="1" applyFill="1" applyBorder="1" applyAlignment="1">
      <alignment horizontal="right" vertical="center" wrapText="1"/>
    </xf>
    <xf numFmtId="164" fontId="18" fillId="8" borderId="33" xfId="1" applyFont="1" applyFill="1" applyBorder="1" applyAlignment="1">
      <alignment horizontal="right" vertical="center" wrapText="1"/>
    </xf>
    <xf numFmtId="0" fontId="20" fillId="0" borderId="47" xfId="3" applyFont="1" applyBorder="1" applyAlignment="1">
      <alignment vertical="center" wrapText="1"/>
    </xf>
    <xf numFmtId="0" fontId="35" fillId="0" borderId="29" xfId="3" applyFont="1" applyBorder="1" applyAlignment="1">
      <alignment vertical="center" wrapText="1"/>
    </xf>
    <xf numFmtId="0" fontId="20" fillId="0" borderId="35" xfId="3" applyFont="1" applyBorder="1" applyAlignment="1">
      <alignment vertical="center" wrapText="1"/>
    </xf>
    <xf numFmtId="1" fontId="39" fillId="0" borderId="0" xfId="0" applyNumberFormat="1" applyFont="1" applyBorder="1"/>
    <xf numFmtId="3" fontId="16" fillId="0" borderId="35" xfId="0" applyNumberFormat="1" applyFont="1" applyFill="1" applyBorder="1"/>
    <xf numFmtId="3" fontId="22" fillId="0" borderId="35" xfId="0" applyNumberFormat="1" applyFont="1" applyFill="1" applyBorder="1"/>
    <xf numFmtId="3" fontId="22" fillId="0" borderId="36" xfId="0" applyNumberFormat="1" applyFont="1" applyFill="1" applyBorder="1"/>
    <xf numFmtId="0" fontId="16" fillId="0" borderId="35" xfId="0" applyFont="1" applyFill="1" applyBorder="1" applyAlignment="1">
      <alignment horizontal="right"/>
    </xf>
    <xf numFmtId="0" fontId="22" fillId="0" borderId="35" xfId="0" applyFont="1" applyFill="1" applyBorder="1" applyAlignment="1">
      <alignment horizontal="right"/>
    </xf>
    <xf numFmtId="0" fontId="22" fillId="0" borderId="36" xfId="0" applyFont="1" applyFill="1" applyBorder="1" applyAlignment="1">
      <alignment horizontal="right"/>
    </xf>
    <xf numFmtId="169" fontId="20" fillId="0" borderId="35" xfId="3" applyNumberFormat="1" applyFont="1" applyFill="1" applyBorder="1" applyAlignment="1">
      <alignment horizontal="right" vertical="center" wrapText="1"/>
    </xf>
    <xf numFmtId="169" fontId="18" fillId="0" borderId="35" xfId="3" applyNumberFormat="1" applyFont="1" applyFill="1" applyBorder="1" applyAlignment="1">
      <alignment horizontal="right" vertical="center" wrapText="1"/>
    </xf>
    <xf numFmtId="169" fontId="22" fillId="0" borderId="36" xfId="0" applyNumberFormat="1" applyFont="1" applyFill="1" applyBorder="1" applyAlignment="1">
      <alignment horizontal="right" vertical="center" wrapText="1"/>
    </xf>
    <xf numFmtId="169" fontId="6" fillId="0" borderId="24" xfId="3" applyNumberFormat="1" applyFont="1" applyFill="1" applyBorder="1" applyAlignment="1">
      <alignment horizontal="right" vertical="center" wrapText="1"/>
    </xf>
    <xf numFmtId="169" fontId="5" fillId="0" borderId="24" xfId="3" applyNumberFormat="1" applyFont="1" applyFill="1" applyBorder="1" applyAlignment="1">
      <alignment horizontal="right" vertical="center" wrapText="1"/>
    </xf>
    <xf numFmtId="169" fontId="12" fillId="0" borderId="25" xfId="0" applyNumberFormat="1" applyFont="1" applyFill="1" applyBorder="1" applyAlignment="1">
      <alignment horizontal="right" vertical="center" wrapText="1"/>
    </xf>
    <xf numFmtId="0" fontId="22" fillId="0" borderId="35" xfId="0" applyFont="1" applyFill="1" applyBorder="1"/>
    <xf numFmtId="0" fontId="22" fillId="0" borderId="36" xfId="0" applyFont="1" applyFill="1" applyBorder="1"/>
    <xf numFmtId="0" fontId="16" fillId="0" borderId="35" xfId="0" applyFont="1" applyFill="1" applyBorder="1"/>
    <xf numFmtId="169" fontId="20" fillId="0" borderId="43" xfId="3" applyNumberFormat="1" applyFont="1" applyFill="1" applyBorder="1" applyAlignment="1">
      <alignment horizontal="right" vertical="center" wrapText="1"/>
    </xf>
    <xf numFmtId="169" fontId="18" fillId="0" borderId="43" xfId="3" applyNumberFormat="1" applyFont="1" applyFill="1" applyBorder="1" applyAlignment="1">
      <alignment horizontal="right" vertical="center" wrapText="1"/>
    </xf>
    <xf numFmtId="169" fontId="22" fillId="0" borderId="44" xfId="0" applyNumberFormat="1" applyFont="1" applyFill="1" applyBorder="1" applyAlignment="1">
      <alignment horizontal="right" vertical="center" wrapText="1"/>
    </xf>
    <xf numFmtId="169" fontId="20" fillId="0" borderId="24" xfId="3" applyNumberFormat="1" applyFont="1" applyFill="1" applyBorder="1" applyAlignment="1">
      <alignment horizontal="right" vertical="center" wrapText="1"/>
    </xf>
    <xf numFmtId="169" fontId="18" fillId="0" borderId="24" xfId="3" applyNumberFormat="1" applyFont="1" applyFill="1" applyBorder="1" applyAlignment="1">
      <alignment horizontal="right" vertical="center" wrapText="1"/>
    </xf>
    <xf numFmtId="169" fontId="22" fillId="0" borderId="25" xfId="0" applyNumberFormat="1" applyFont="1" applyFill="1" applyBorder="1" applyAlignment="1">
      <alignment horizontal="right" vertical="center" wrapText="1"/>
    </xf>
    <xf numFmtId="166" fontId="20" fillId="0" borderId="34" xfId="3" applyNumberFormat="1" applyFont="1" applyFill="1" applyBorder="1" applyAlignment="1">
      <alignment horizontal="right" vertical="center" wrapText="1"/>
    </xf>
    <xf numFmtId="10" fontId="18" fillId="0" borderId="35" xfId="3" applyNumberFormat="1" applyFont="1" applyFill="1" applyBorder="1" applyAlignment="1">
      <alignment horizontal="right" vertical="center" wrapText="1"/>
    </xf>
    <xf numFmtId="10" fontId="18" fillId="0" borderId="36" xfId="3" applyNumberFormat="1" applyFont="1" applyFill="1" applyBorder="1" applyAlignment="1">
      <alignment horizontal="right" vertical="center" wrapText="1"/>
    </xf>
    <xf numFmtId="0" fontId="16" fillId="0" borderId="35" xfId="0" applyFont="1" applyFill="1" applyBorder="1" applyAlignment="1">
      <alignment horizontal="right" vertical="center"/>
    </xf>
    <xf numFmtId="166" fontId="22" fillId="0" borderId="35" xfId="0" applyNumberFormat="1" applyFont="1" applyFill="1" applyBorder="1"/>
    <xf numFmtId="166" fontId="22" fillId="0" borderId="36" xfId="0" applyNumberFormat="1" applyFont="1" applyFill="1" applyBorder="1"/>
    <xf numFmtId="166" fontId="18" fillId="0" borderId="35" xfId="3" applyNumberFormat="1" applyFont="1" applyFill="1" applyBorder="1" applyAlignment="1">
      <alignment vertical="center" wrapText="1"/>
    </xf>
    <xf numFmtId="166" fontId="18" fillId="0" borderId="36" xfId="3" applyNumberFormat="1" applyFont="1" applyFill="1" applyBorder="1" applyAlignment="1">
      <alignment vertical="center" wrapText="1"/>
    </xf>
    <xf numFmtId="166" fontId="18" fillId="0" borderId="35" xfId="3" applyNumberFormat="1" applyFont="1" applyFill="1" applyBorder="1" applyAlignment="1">
      <alignment horizontal="right" vertical="center" wrapText="1"/>
    </xf>
    <xf numFmtId="166" fontId="22" fillId="0" borderId="36" xfId="0" applyNumberFormat="1" applyFont="1" applyFill="1" applyBorder="1" applyAlignment="1">
      <alignment horizontal="right" vertical="center" wrapText="1"/>
    </xf>
    <xf numFmtId="167" fontId="18" fillId="0" borderId="35" xfId="3" applyNumberFormat="1" applyFont="1" applyFill="1" applyBorder="1" applyAlignment="1">
      <alignment vertical="center" wrapText="1"/>
    </xf>
    <xf numFmtId="167" fontId="18" fillId="0" borderId="35" xfId="3" applyNumberFormat="1" applyFont="1" applyFill="1" applyBorder="1" applyAlignment="1">
      <alignment horizontal="right" vertical="center" wrapText="1"/>
    </xf>
    <xf numFmtId="167" fontId="16" fillId="0" borderId="36" xfId="0" applyNumberFormat="1" applyFont="1" applyFill="1" applyBorder="1" applyAlignment="1">
      <alignment horizontal="right" vertical="center" wrapText="1"/>
    </xf>
    <xf numFmtId="3" fontId="18" fillId="0" borderId="5" xfId="3" applyNumberFormat="1" applyFont="1" applyFill="1" applyBorder="1" applyAlignment="1">
      <alignment horizontal="right" vertical="center" wrapText="1"/>
    </xf>
    <xf numFmtId="3" fontId="20" fillId="0" borderId="32" xfId="3" applyNumberFormat="1" applyFont="1" applyBorder="1" applyAlignment="1">
      <alignment horizontal="right" vertical="center" wrapText="1"/>
    </xf>
    <xf numFmtId="10" fontId="20" fillId="0" borderId="27" xfId="3" applyNumberFormat="1" applyFont="1" applyFill="1" applyBorder="1" applyAlignment="1">
      <alignment horizontal="center" vertical="center" wrapText="1"/>
    </xf>
    <xf numFmtId="10" fontId="20" fillId="0" borderId="28" xfId="3" applyNumberFormat="1" applyFont="1" applyFill="1" applyBorder="1" applyAlignment="1">
      <alignment horizontal="center" vertical="center" wrapText="1"/>
    </xf>
    <xf numFmtId="10" fontId="18" fillId="0" borderId="5" xfId="3" applyNumberFormat="1" applyFont="1" applyFill="1" applyBorder="1" applyAlignment="1">
      <alignment horizontal="center" vertical="center" wrapText="1"/>
    </xf>
    <xf numFmtId="10" fontId="18" fillId="0" borderId="30" xfId="3" applyNumberFormat="1" applyFont="1" applyFill="1" applyBorder="1" applyAlignment="1">
      <alignment horizontal="center" vertical="center" wrapText="1"/>
    </xf>
    <xf numFmtId="10" fontId="18" fillId="0" borderId="32" xfId="3" applyNumberFormat="1" applyFont="1" applyFill="1" applyBorder="1" applyAlignment="1">
      <alignment horizontal="center" vertical="center" wrapText="1"/>
    </xf>
    <xf numFmtId="10" fontId="18" fillId="0" borderId="33" xfId="3" applyNumberFormat="1" applyFont="1" applyFill="1" applyBorder="1" applyAlignment="1">
      <alignment horizontal="center" vertical="center" wrapText="1"/>
    </xf>
    <xf numFmtId="9" fontId="18" fillId="0" borderId="5" xfId="8" applyFont="1" applyFill="1" applyBorder="1" applyAlignment="1">
      <alignment vertical="center" wrapText="1"/>
    </xf>
    <xf numFmtId="9" fontId="18" fillId="0" borderId="6" xfId="8" applyFont="1" applyFill="1" applyBorder="1" applyAlignment="1">
      <alignment vertical="center" wrapText="1"/>
    </xf>
    <xf numFmtId="165" fontId="22" fillId="0" borderId="5" xfId="1" applyNumberFormat="1" applyFont="1" applyBorder="1"/>
    <xf numFmtId="165" fontId="16" fillId="0" borderId="6" xfId="1" applyNumberFormat="1" applyFont="1" applyBorder="1"/>
    <xf numFmtId="10" fontId="17" fillId="0" borderId="26" xfId="3" applyNumberFormat="1" applyFont="1" applyFill="1" applyBorder="1" applyAlignment="1">
      <alignment horizontal="right" vertical="center" wrapText="1"/>
    </xf>
    <xf numFmtId="168" fontId="41" fillId="0" borderId="18" xfId="3" applyNumberFormat="1" applyFont="1" applyFill="1" applyBorder="1" applyAlignment="1">
      <alignment horizontal="right" vertical="center" wrapText="1"/>
    </xf>
    <xf numFmtId="168" fontId="17" fillId="0" borderId="18" xfId="3" applyNumberFormat="1" applyFont="1" applyFill="1" applyBorder="1" applyAlignment="1">
      <alignment horizontal="right" vertical="center" wrapText="1"/>
    </xf>
    <xf numFmtId="172" fontId="39" fillId="0" borderId="36" xfId="0" applyNumberFormat="1" applyFont="1" applyBorder="1" applyAlignment="1">
      <alignment horizontal="right"/>
    </xf>
    <xf numFmtId="0" fontId="49" fillId="0" borderId="0" xfId="3" applyFont="1" applyBorder="1"/>
    <xf numFmtId="1" fontId="50" fillId="0" borderId="6" xfId="0" applyNumberFormat="1" applyFont="1" applyBorder="1"/>
    <xf numFmtId="172" fontId="24" fillId="8" borderId="5" xfId="0" applyNumberFormat="1" applyFont="1" applyFill="1" applyBorder="1" applyAlignment="1">
      <alignment vertical="center"/>
    </xf>
    <xf numFmtId="0" fontId="51" fillId="0" borderId="0" xfId="0" applyFont="1"/>
    <xf numFmtId="3" fontId="18" fillId="7" borderId="5" xfId="3" applyNumberFormat="1" applyFont="1" applyFill="1" applyBorder="1" applyAlignment="1">
      <alignment horizontal="right" vertical="center" wrapText="1"/>
    </xf>
    <xf numFmtId="3" fontId="18" fillId="7" borderId="6" xfId="3" applyNumberFormat="1" applyFont="1" applyFill="1" applyBorder="1" applyAlignment="1">
      <alignment horizontal="right" vertical="center" wrapText="1"/>
    </xf>
    <xf numFmtId="3" fontId="20" fillId="7" borderId="5" xfId="3" applyNumberFormat="1" applyFont="1" applyFill="1" applyBorder="1" applyAlignment="1">
      <alignment horizontal="right" vertical="center" wrapText="1"/>
    </xf>
    <xf numFmtId="0" fontId="52" fillId="0" borderId="0" xfId="3" applyFont="1"/>
    <xf numFmtId="0" fontId="54" fillId="0" borderId="0" xfId="3" applyFont="1" applyAlignment="1">
      <alignment vertical="center"/>
    </xf>
    <xf numFmtId="4" fontId="18" fillId="7" borderId="5" xfId="3" applyNumberFormat="1" applyFont="1" applyFill="1" applyBorder="1" applyAlignment="1">
      <alignment horizontal="right" vertical="center" wrapText="1"/>
    </xf>
    <xf numFmtId="4" fontId="53" fillId="7" borderId="5" xfId="3" applyNumberFormat="1" applyFont="1" applyFill="1" applyBorder="1" applyAlignment="1">
      <alignment horizontal="right" vertical="center" wrapText="1"/>
    </xf>
    <xf numFmtId="2" fontId="18" fillId="7" borderId="6" xfId="3" applyNumberFormat="1" applyFont="1" applyFill="1" applyBorder="1" applyAlignment="1">
      <alignment horizontal="right" vertical="center" wrapText="1"/>
    </xf>
    <xf numFmtId="164" fontId="18" fillId="7" borderId="6" xfId="1" applyFont="1" applyFill="1" applyBorder="1" applyAlignment="1">
      <alignment horizontal="right" vertical="center" wrapText="1"/>
    </xf>
    <xf numFmtId="4" fontId="20" fillId="7" borderId="4" xfId="3" applyNumberFormat="1" applyFont="1" applyFill="1" applyBorder="1" applyAlignment="1">
      <alignment vertical="center" wrapText="1"/>
    </xf>
    <xf numFmtId="9" fontId="18" fillId="7" borderId="16" xfId="3" applyNumberFormat="1" applyFont="1" applyFill="1" applyBorder="1" applyAlignment="1">
      <alignment vertical="center" wrapText="1"/>
    </xf>
    <xf numFmtId="9" fontId="18" fillId="7" borderId="15" xfId="8" applyFont="1" applyFill="1" applyBorder="1" applyAlignment="1">
      <alignment vertical="center" wrapText="1"/>
    </xf>
    <xf numFmtId="3" fontId="0" fillId="7" borderId="5" xfId="0" applyNumberFormat="1" applyFill="1" applyBorder="1"/>
    <xf numFmtId="165" fontId="41" fillId="7" borderId="27" xfId="1" applyNumberFormat="1" applyFont="1" applyFill="1" applyBorder="1" applyAlignment="1">
      <alignment horizontal="right" vertical="center" wrapText="1"/>
    </xf>
    <xf numFmtId="3" fontId="41" fillId="7" borderId="27" xfId="3" applyNumberFormat="1" applyFont="1" applyFill="1" applyBorder="1" applyAlignment="1">
      <alignment vertical="center" wrapText="1"/>
    </xf>
    <xf numFmtId="165" fontId="41" fillId="7" borderId="28" xfId="1" applyNumberFormat="1" applyFont="1" applyFill="1" applyBorder="1" applyAlignment="1">
      <alignment horizontal="right" vertical="center" wrapText="1"/>
    </xf>
    <xf numFmtId="165" fontId="41" fillId="7" borderId="5" xfId="1" applyNumberFormat="1" applyFont="1" applyFill="1" applyBorder="1" applyAlignment="1">
      <alignment horizontal="right" vertical="center" wrapText="1"/>
    </xf>
    <xf numFmtId="3" fontId="41" fillId="7" borderId="5" xfId="3" applyNumberFormat="1" applyFont="1" applyFill="1" applyBorder="1" applyAlignment="1">
      <alignment vertical="center" wrapText="1"/>
    </xf>
    <xf numFmtId="165" fontId="41" fillId="7" borderId="30" xfId="1" applyNumberFormat="1" applyFont="1" applyFill="1" applyBorder="1" applyAlignment="1">
      <alignment horizontal="right" vertical="center" wrapText="1"/>
    </xf>
    <xf numFmtId="3" fontId="20" fillId="7" borderId="32" xfId="3" applyNumberFormat="1" applyFont="1" applyFill="1" applyBorder="1" applyAlignment="1">
      <alignment vertical="center" wrapText="1"/>
    </xf>
    <xf numFmtId="172" fontId="24" fillId="7" borderId="5" xfId="0" applyNumberFormat="1" applyFont="1" applyFill="1" applyBorder="1" applyAlignment="1">
      <alignment vertical="center"/>
    </xf>
    <xf numFmtId="172" fontId="18" fillId="7" borderId="5" xfId="3" applyNumberFormat="1" applyFont="1" applyFill="1" applyBorder="1" applyAlignment="1">
      <alignment horizontal="right" vertical="center" wrapText="1"/>
    </xf>
    <xf numFmtId="3" fontId="41" fillId="0" borderId="35" xfId="0" applyNumberFormat="1" applyFont="1" applyFill="1" applyBorder="1" applyAlignment="1">
      <alignment horizontal="right"/>
    </xf>
    <xf numFmtId="3" fontId="16" fillId="0" borderId="35" xfId="0" applyNumberFormat="1" applyFont="1" applyFill="1" applyBorder="1" applyAlignment="1">
      <alignment horizontal="right"/>
    </xf>
    <xf numFmtId="3" fontId="22" fillId="0" borderId="35" xfId="0" applyNumberFormat="1" applyFont="1" applyFill="1" applyBorder="1" applyAlignment="1">
      <alignment horizontal="right"/>
    </xf>
    <xf numFmtId="3" fontId="22" fillId="0" borderId="36" xfId="0" applyNumberFormat="1" applyFont="1" applyFill="1" applyBorder="1" applyAlignment="1">
      <alignment horizontal="right"/>
    </xf>
    <xf numFmtId="3" fontId="18" fillId="0" borderId="35" xfId="3" applyNumberFormat="1" applyFont="1" applyFill="1" applyBorder="1" applyAlignment="1">
      <alignment horizontal="right" vertical="center" wrapText="1"/>
    </xf>
    <xf numFmtId="3" fontId="18" fillId="0" borderId="35" xfId="3" applyNumberFormat="1" applyFont="1" applyFill="1" applyBorder="1" applyAlignment="1">
      <alignment vertical="center" wrapText="1"/>
    </xf>
    <xf numFmtId="1" fontId="18" fillId="0" borderId="35" xfId="3" applyNumberFormat="1" applyFont="1" applyFill="1" applyBorder="1" applyAlignment="1">
      <alignment horizontal="right" vertical="center" wrapText="1"/>
    </xf>
    <xf numFmtId="2" fontId="18" fillId="0" borderId="35" xfId="3" applyNumberFormat="1" applyFont="1" applyFill="1" applyBorder="1" applyAlignment="1">
      <alignment horizontal="right" vertical="center" wrapText="1"/>
    </xf>
    <xf numFmtId="1" fontId="22" fillId="0" borderId="36" xfId="0" applyNumberFormat="1" applyFont="1" applyFill="1" applyBorder="1" applyAlignment="1">
      <alignment horizontal="right" vertical="center" wrapText="1"/>
    </xf>
    <xf numFmtId="2" fontId="22" fillId="0" borderId="36" xfId="0" applyNumberFormat="1" applyFont="1" applyFill="1" applyBorder="1" applyAlignment="1">
      <alignment horizontal="right" vertical="center" wrapText="1"/>
    </xf>
    <xf numFmtId="1" fontId="18" fillId="0" borderId="36" xfId="3" applyNumberFormat="1" applyFont="1" applyFill="1" applyBorder="1" applyAlignment="1">
      <alignment horizontal="right" vertical="center" wrapText="1"/>
    </xf>
    <xf numFmtId="167" fontId="22" fillId="0" borderId="36" xfId="0" applyNumberFormat="1" applyFont="1" applyFill="1" applyBorder="1" applyAlignment="1">
      <alignment horizontal="right" vertical="center" wrapText="1"/>
    </xf>
    <xf numFmtId="0" fontId="18" fillId="0" borderId="34" xfId="3" applyFont="1" applyBorder="1" applyAlignment="1">
      <alignment vertical="center" wrapText="1"/>
    </xf>
    <xf numFmtId="0" fontId="20" fillId="0" borderId="34" xfId="3" applyFont="1" applyBorder="1" applyAlignment="1">
      <alignment vertical="center" wrapText="1"/>
    </xf>
    <xf numFmtId="9" fontId="20" fillId="0" borderId="27" xfId="3" applyNumberFormat="1" applyFont="1" applyBorder="1" applyAlignment="1">
      <alignment horizontal="center" vertical="center" wrapText="1"/>
    </xf>
    <xf numFmtId="9" fontId="20" fillId="0" borderId="28" xfId="3" applyNumberFormat="1" applyFont="1" applyBorder="1" applyAlignment="1">
      <alignment horizontal="center" vertical="center" wrapText="1"/>
    </xf>
    <xf numFmtId="9" fontId="18" fillId="0" borderId="30" xfId="3" applyNumberFormat="1" applyFont="1" applyBorder="1" applyAlignment="1">
      <alignment horizontal="center" vertical="center" wrapText="1"/>
    </xf>
    <xf numFmtId="9" fontId="18" fillId="0" borderId="31" xfId="3" applyNumberFormat="1" applyFont="1" applyBorder="1" applyAlignment="1">
      <alignment horizontal="left" vertical="center" wrapText="1"/>
    </xf>
    <xf numFmtId="9" fontId="18" fillId="0" borderId="32" xfId="3" applyNumberFormat="1" applyFont="1" applyBorder="1" applyAlignment="1">
      <alignment horizontal="center" vertical="center" wrapText="1"/>
    </xf>
    <xf numFmtId="9" fontId="18" fillId="0" borderId="33" xfId="3" applyNumberFormat="1" applyFont="1" applyBorder="1" applyAlignment="1">
      <alignment horizontal="center" vertical="center" wrapText="1"/>
    </xf>
    <xf numFmtId="3" fontId="20" fillId="0" borderId="27" xfId="3" applyNumberFormat="1" applyFont="1" applyBorder="1" applyAlignment="1">
      <alignment horizontal="right" vertical="center" wrapText="1"/>
    </xf>
    <xf numFmtId="3" fontId="20" fillId="0" borderId="28" xfId="3" applyNumberFormat="1" applyFont="1" applyBorder="1" applyAlignment="1">
      <alignment horizontal="right" vertical="center" wrapText="1"/>
    </xf>
    <xf numFmtId="3" fontId="18" fillId="0" borderId="30" xfId="3" applyNumberFormat="1" applyFont="1" applyBorder="1" applyAlignment="1">
      <alignment horizontal="right" vertical="center" wrapText="1"/>
    </xf>
    <xf numFmtId="0" fontId="18" fillId="0" borderId="32" xfId="3" applyFont="1" applyBorder="1" applyAlignment="1">
      <alignment vertical="center" wrapText="1"/>
    </xf>
    <xf numFmtId="3" fontId="18" fillId="0" borderId="32" xfId="3" applyNumberFormat="1" applyFont="1" applyBorder="1" applyAlignment="1">
      <alignment horizontal="right" vertical="center" wrapText="1"/>
    </xf>
    <xf numFmtId="3" fontId="18" fillId="0" borderId="33" xfId="3" applyNumberFormat="1" applyFont="1" applyBorder="1" applyAlignment="1">
      <alignment horizontal="right" vertical="center" wrapText="1"/>
    </xf>
    <xf numFmtId="3" fontId="18" fillId="0" borderId="11" xfId="3" applyNumberFormat="1" applyFont="1" applyFill="1" applyBorder="1" applyAlignment="1">
      <alignment horizontal="right" vertical="center" wrapText="1"/>
    </xf>
    <xf numFmtId="3" fontId="20" fillId="0" borderId="12" xfId="3" applyNumberFormat="1" applyFont="1" applyFill="1" applyBorder="1" applyAlignment="1">
      <alignment vertical="center" wrapText="1"/>
    </xf>
    <xf numFmtId="165" fontId="22" fillId="0" borderId="5" xfId="1" applyNumberFormat="1" applyFont="1" applyFill="1" applyBorder="1"/>
    <xf numFmtId="165" fontId="16" fillId="0" borderId="6" xfId="1" applyNumberFormat="1" applyFont="1" applyFill="1" applyBorder="1"/>
    <xf numFmtId="0" fontId="0" fillId="0" borderId="5" xfId="0" applyFill="1" applyBorder="1"/>
    <xf numFmtId="4" fontId="20" fillId="0" borderId="6" xfId="3" applyNumberFormat="1" applyFont="1" applyFill="1" applyBorder="1" applyAlignment="1">
      <alignment vertical="center" wrapText="1"/>
    </xf>
    <xf numFmtId="4" fontId="18" fillId="0" borderId="11" xfId="3" applyNumberFormat="1" applyFont="1" applyFill="1" applyBorder="1" applyAlignment="1">
      <alignment horizontal="right" vertical="center" wrapText="1"/>
    </xf>
    <xf numFmtId="4" fontId="20" fillId="0" borderId="12" xfId="3" applyNumberFormat="1" applyFont="1" applyFill="1" applyBorder="1" applyAlignment="1">
      <alignment horizontal="right" vertical="center" wrapText="1"/>
    </xf>
    <xf numFmtId="170" fontId="18" fillId="0" borderId="5" xfId="3" applyNumberFormat="1" applyFont="1" applyFill="1" applyBorder="1" applyAlignment="1">
      <alignment horizontal="right" vertical="center" wrapText="1"/>
    </xf>
    <xf numFmtId="170" fontId="20" fillId="0" borderId="12" xfId="3" applyNumberFormat="1" applyFont="1" applyFill="1" applyBorder="1" applyAlignment="1">
      <alignment horizontal="right" vertical="center" wrapText="1"/>
    </xf>
    <xf numFmtId="0" fontId="18" fillId="0" borderId="11" xfId="3" applyFont="1" applyBorder="1" applyAlignment="1">
      <alignment vertical="center" wrapText="1"/>
    </xf>
    <xf numFmtId="4" fontId="20" fillId="0" borderId="12" xfId="3" applyNumberFormat="1" applyFont="1" applyBorder="1" applyAlignment="1">
      <alignment vertical="center" wrapText="1"/>
    </xf>
    <xf numFmtId="4" fontId="18" fillId="0" borderId="35" xfId="3" applyNumberFormat="1" applyFont="1" applyBorder="1" applyAlignment="1">
      <alignment vertical="center" wrapText="1"/>
    </xf>
    <xf numFmtId="4" fontId="18" fillId="0" borderId="35" xfId="3" applyNumberFormat="1" applyFont="1" applyBorder="1" applyAlignment="1">
      <alignment horizontal="right" vertical="center" wrapText="1"/>
    </xf>
    <xf numFmtId="0" fontId="27" fillId="0" borderId="36" xfId="3" applyFont="1" applyBorder="1"/>
    <xf numFmtId="2" fontId="18" fillId="0" borderId="35" xfId="3" applyNumberFormat="1" applyFont="1" applyFill="1" applyBorder="1" applyAlignment="1">
      <alignment vertical="center" wrapText="1"/>
    </xf>
    <xf numFmtId="164" fontId="18" fillId="0" borderId="5" xfId="1" applyFont="1" applyFill="1" applyBorder="1" applyAlignment="1">
      <alignment horizontal="right" vertical="center" wrapText="1"/>
    </xf>
    <xf numFmtId="164" fontId="18" fillId="0" borderId="6" xfId="1" applyFont="1" applyFill="1" applyBorder="1" applyAlignment="1">
      <alignment horizontal="right" vertical="center" wrapText="1"/>
    </xf>
    <xf numFmtId="3" fontId="0" fillId="0" borderId="5" xfId="0" applyNumberFormat="1" applyFill="1" applyBorder="1"/>
    <xf numFmtId="2" fontId="18" fillId="0" borderId="24" xfId="3" applyNumberFormat="1" applyFont="1" applyFill="1" applyBorder="1" applyAlignment="1">
      <alignment vertical="center" wrapText="1"/>
    </xf>
    <xf numFmtId="2" fontId="20" fillId="0" borderId="25" xfId="3" applyNumberFormat="1" applyFont="1" applyBorder="1" applyAlignment="1">
      <alignment vertical="center" wrapText="1"/>
    </xf>
    <xf numFmtId="0" fontId="39" fillId="0" borderId="25" xfId="0" applyFont="1" applyFill="1" applyBorder="1" applyAlignment="1">
      <alignment horizontal="right"/>
    </xf>
    <xf numFmtId="164" fontId="18" fillId="0" borderId="0" xfId="1" applyFont="1" applyFill="1" applyBorder="1" applyAlignment="1">
      <alignment horizontal="right" vertical="center" wrapText="1"/>
    </xf>
    <xf numFmtId="2" fontId="18" fillId="7" borderId="5" xfId="3" applyNumberFormat="1" applyFont="1" applyFill="1" applyBorder="1" applyAlignment="1">
      <alignment horizontal="right" vertical="center" wrapText="1"/>
    </xf>
    <xf numFmtId="164" fontId="18" fillId="7" borderId="5" xfId="1" applyFont="1" applyFill="1" applyBorder="1" applyAlignment="1">
      <alignment horizontal="right" vertical="center" wrapText="1"/>
    </xf>
    <xf numFmtId="2" fontId="20" fillId="7" borderId="5" xfId="3" applyNumberFormat="1" applyFont="1" applyFill="1" applyBorder="1" applyAlignment="1">
      <alignment horizontal="right" vertical="center" wrapText="1"/>
    </xf>
    <xf numFmtId="164" fontId="20" fillId="7" borderId="5" xfId="1" applyFont="1" applyFill="1" applyBorder="1" applyAlignment="1">
      <alignment horizontal="right" vertical="center" wrapText="1"/>
    </xf>
    <xf numFmtId="0" fontId="18" fillId="0" borderId="5" xfId="3" applyFont="1" applyFill="1" applyBorder="1" applyAlignment="1">
      <alignment vertical="center" wrapText="1"/>
    </xf>
    <xf numFmtId="3" fontId="18" fillId="7" borderId="30" xfId="3" applyNumberFormat="1" applyFont="1" applyFill="1" applyBorder="1" applyAlignment="1">
      <alignment horizontal="right" vertical="center" wrapText="1"/>
    </xf>
    <xf numFmtId="0" fontId="18" fillId="0" borderId="31" xfId="3" applyFont="1" applyFill="1" applyBorder="1" applyAlignment="1">
      <alignment vertical="center" wrapText="1"/>
    </xf>
    <xf numFmtId="3" fontId="18" fillId="7" borderId="33" xfId="3" applyNumberFormat="1" applyFont="1" applyFill="1" applyBorder="1" applyAlignment="1">
      <alignment horizontal="right" vertical="center" wrapText="1"/>
    </xf>
    <xf numFmtId="0" fontId="20" fillId="0" borderId="28" xfId="3" applyFont="1" applyBorder="1" applyAlignment="1">
      <alignment vertical="center" wrapText="1"/>
    </xf>
    <xf numFmtId="0" fontId="18" fillId="0" borderId="30" xfId="3" applyFont="1" applyBorder="1" applyAlignment="1">
      <alignment vertical="center" wrapText="1"/>
    </xf>
    <xf numFmtId="0" fontId="18" fillId="0" borderId="33" xfId="3" applyFont="1" applyFill="1" applyBorder="1" applyAlignment="1">
      <alignment vertical="center" wrapText="1"/>
    </xf>
    <xf numFmtId="3" fontId="20" fillId="7" borderId="28" xfId="3" applyNumberFormat="1" applyFont="1" applyFill="1" applyBorder="1" applyAlignment="1">
      <alignment horizontal="right" vertical="center" wrapText="1"/>
    </xf>
    <xf numFmtId="3" fontId="20" fillId="0" borderId="11" xfId="3" applyNumberFormat="1" applyFont="1" applyBorder="1" applyAlignment="1">
      <alignment vertical="center" wrapText="1"/>
    </xf>
    <xf numFmtId="3" fontId="18" fillId="8" borderId="34" xfId="3" applyNumberFormat="1" applyFont="1" applyFill="1" applyBorder="1" applyAlignment="1">
      <alignment horizontal="right" vertical="center" wrapText="1"/>
    </xf>
    <xf numFmtId="3" fontId="20" fillId="0" borderId="35" xfId="3" applyNumberFormat="1" applyFont="1" applyFill="1" applyBorder="1" applyAlignment="1">
      <alignment horizontal="right" vertical="center" wrapText="1"/>
    </xf>
    <xf numFmtId="4" fontId="16" fillId="0" borderId="51" xfId="0" applyNumberFormat="1" applyFont="1" applyFill="1" applyBorder="1" applyAlignment="1">
      <alignment horizontal="right" vertical="center"/>
    </xf>
    <xf numFmtId="4" fontId="16" fillId="0" borderId="35" xfId="0" applyNumberFormat="1" applyFont="1" applyFill="1" applyBorder="1" applyAlignment="1">
      <alignment horizontal="right" vertical="center"/>
    </xf>
    <xf numFmtId="4" fontId="22" fillId="0" borderId="51" xfId="0" applyNumberFormat="1" applyFont="1" applyFill="1" applyBorder="1" applyAlignment="1">
      <alignment horizontal="right" vertical="center"/>
    </xf>
    <xf numFmtId="4" fontId="22" fillId="0" borderId="35" xfId="0" applyNumberFormat="1" applyFont="1" applyFill="1" applyBorder="1" applyAlignment="1">
      <alignment horizontal="right"/>
    </xf>
    <xf numFmtId="4" fontId="22" fillId="0" borderId="54" xfId="0" applyNumberFormat="1" applyFont="1" applyFill="1" applyBorder="1" applyAlignment="1">
      <alignment horizontal="right" vertical="center"/>
    </xf>
    <xf numFmtId="4" fontId="22" fillId="0" borderId="36" xfId="0" applyNumberFormat="1" applyFont="1" applyFill="1" applyBorder="1" applyAlignment="1">
      <alignment horizontal="right"/>
    </xf>
    <xf numFmtId="2" fontId="16" fillId="0" borderId="35" xfId="0" applyNumberFormat="1" applyFont="1" applyFill="1" applyBorder="1" applyAlignment="1">
      <alignment horizontal="right" vertical="center"/>
    </xf>
    <xf numFmtId="2" fontId="22" fillId="0" borderId="35" xfId="0" applyNumberFormat="1" applyFont="1" applyFill="1" applyBorder="1" applyAlignment="1">
      <alignment horizontal="right"/>
    </xf>
    <xf numFmtId="2" fontId="22" fillId="0" borderId="36" xfId="0" applyNumberFormat="1" applyFont="1" applyFill="1" applyBorder="1" applyAlignment="1">
      <alignment horizontal="right"/>
    </xf>
    <xf numFmtId="3" fontId="18" fillId="0" borderId="52" xfId="3" applyNumberFormat="1" applyFont="1" applyFill="1" applyBorder="1" applyAlignment="1">
      <alignment horizontal="right" vertical="center" wrapText="1"/>
    </xf>
    <xf numFmtId="3" fontId="18" fillId="0" borderId="27" xfId="3" applyNumberFormat="1" applyFont="1" applyFill="1" applyBorder="1" applyAlignment="1">
      <alignment horizontal="right" vertical="center" wrapText="1"/>
    </xf>
    <xf numFmtId="3" fontId="18" fillId="0" borderId="9" xfId="3" applyNumberFormat="1" applyFont="1" applyFill="1" applyBorder="1" applyAlignment="1">
      <alignment horizontal="right" vertical="center" wrapText="1"/>
    </xf>
    <xf numFmtId="3" fontId="18" fillId="0" borderId="53" xfId="3" applyNumberFormat="1" applyFont="1" applyFill="1" applyBorder="1" applyAlignment="1">
      <alignment horizontal="right" vertical="center" wrapText="1"/>
    </xf>
    <xf numFmtId="3" fontId="18" fillId="0" borderId="32" xfId="3" applyNumberFormat="1" applyFont="1" applyFill="1" applyBorder="1" applyAlignment="1">
      <alignment horizontal="right" vertical="center" wrapText="1"/>
    </xf>
    <xf numFmtId="9" fontId="18" fillId="0" borderId="16" xfId="3" applyNumberFormat="1" applyFont="1" applyFill="1" applyBorder="1" applyAlignment="1">
      <alignment vertical="center" wrapText="1"/>
    </xf>
    <xf numFmtId="9" fontId="18" fillId="0" borderId="15" xfId="8" applyFont="1" applyFill="1" applyBorder="1" applyAlignment="1">
      <alignment vertical="center" wrapText="1"/>
    </xf>
    <xf numFmtId="3" fontId="18" fillId="0" borderId="36" xfId="3" applyNumberFormat="1" applyFont="1" applyFill="1" applyBorder="1" applyAlignment="1">
      <alignment horizontal="right" vertical="center" wrapText="1"/>
    </xf>
    <xf numFmtId="4" fontId="20" fillId="0" borderId="18" xfId="3" applyNumberFormat="1" applyFont="1" applyFill="1" applyBorder="1" applyAlignment="1">
      <alignment horizontal="right" vertical="center" wrapText="1"/>
    </xf>
    <xf numFmtId="2" fontId="0" fillId="0" borderId="5" xfId="0" applyNumberFormat="1" applyFill="1" applyBorder="1"/>
    <xf numFmtId="0" fontId="22" fillId="0" borderId="0" xfId="0" applyFont="1"/>
    <xf numFmtId="164" fontId="18" fillId="0" borderId="27" xfId="1" applyFont="1" applyFill="1" applyBorder="1" applyAlignment="1">
      <alignment horizontal="right" vertical="center" wrapText="1"/>
    </xf>
    <xf numFmtId="164" fontId="18" fillId="0" borderId="28" xfId="1" applyFont="1" applyFill="1" applyBorder="1" applyAlignment="1">
      <alignment horizontal="right" vertical="center" wrapText="1"/>
    </xf>
    <xf numFmtId="164" fontId="18" fillId="0" borderId="30" xfId="1" applyFont="1" applyFill="1" applyBorder="1" applyAlignment="1">
      <alignment horizontal="right" vertical="center" wrapText="1"/>
    </xf>
    <xf numFmtId="164" fontId="18" fillId="0" borderId="32" xfId="1" applyFont="1" applyFill="1" applyBorder="1" applyAlignment="1">
      <alignment horizontal="right" vertical="center" wrapText="1"/>
    </xf>
    <xf numFmtId="164" fontId="18" fillId="0" borderId="33" xfId="1" applyFont="1" applyFill="1" applyBorder="1" applyAlignment="1">
      <alignment horizontal="right" vertical="center" wrapText="1"/>
    </xf>
    <xf numFmtId="14" fontId="0" fillId="0" borderId="0" xfId="0" applyNumberFormat="1"/>
    <xf numFmtId="3" fontId="55" fillId="0" borderId="24" xfId="0" applyNumberFormat="1" applyFont="1" applyFill="1" applyBorder="1"/>
    <xf numFmtId="3" fontId="54" fillId="0" borderId="24" xfId="0" applyNumberFormat="1" applyFont="1" applyFill="1" applyBorder="1"/>
    <xf numFmtId="3" fontId="22" fillId="0" borderId="44" xfId="0" applyNumberFormat="1" applyFont="1" applyFill="1" applyBorder="1"/>
    <xf numFmtId="0" fontId="54" fillId="0" borderId="24" xfId="0" applyFont="1" applyFill="1" applyBorder="1" applyAlignment="1">
      <alignment horizontal="right"/>
    </xf>
    <xf numFmtId="0" fontId="55" fillId="0" borderId="35" xfId="0" applyFont="1" applyFill="1" applyBorder="1" applyAlignment="1">
      <alignment horizontal="right"/>
    </xf>
    <xf numFmtId="0" fontId="54" fillId="0" borderId="35" xfId="0" applyFont="1" applyFill="1" applyBorder="1" applyAlignment="1">
      <alignment horizontal="right"/>
    </xf>
    <xf numFmtId="0" fontId="54" fillId="0" borderId="36" xfId="0" applyFont="1" applyFill="1" applyBorder="1" applyAlignment="1">
      <alignment horizontal="right"/>
    </xf>
    <xf numFmtId="0" fontId="56" fillId="2" borderId="0" xfId="0" applyFont="1" applyFill="1"/>
    <xf numFmtId="0" fontId="55" fillId="0" borderId="49" xfId="0" applyFont="1" applyFill="1" applyBorder="1" applyAlignment="1">
      <alignment horizontal="right" vertical="center" wrapText="1"/>
    </xf>
    <xf numFmtId="0" fontId="55" fillId="0" borderId="56" xfId="0" applyFont="1" applyFill="1" applyBorder="1" applyAlignment="1">
      <alignment horizontal="right" vertical="center" wrapText="1"/>
    </xf>
    <xf numFmtId="0" fontId="54" fillId="0" borderId="51" xfId="0" applyFont="1" applyFill="1" applyBorder="1" applyAlignment="1">
      <alignment horizontal="right" vertical="center" wrapText="1"/>
    </xf>
    <xf numFmtId="0" fontId="54" fillId="0" borderId="56" xfId="0" applyFont="1" applyFill="1" applyBorder="1" applyAlignment="1">
      <alignment horizontal="right" vertical="center" wrapText="1"/>
    </xf>
    <xf numFmtId="0" fontId="55" fillId="0" borderId="50" xfId="0" applyFont="1" applyFill="1" applyBorder="1" applyAlignment="1">
      <alignment horizontal="right" vertical="center" wrapText="1"/>
    </xf>
    <xf numFmtId="0" fontId="54" fillId="0" borderId="50" xfId="0" applyFont="1" applyFill="1" applyBorder="1" applyAlignment="1">
      <alignment horizontal="right" vertical="center" wrapText="1"/>
    </xf>
    <xf numFmtId="0" fontId="55" fillId="9" borderId="34" xfId="0" applyFont="1" applyFill="1" applyBorder="1" applyAlignment="1">
      <alignment vertical="center" wrapText="1"/>
    </xf>
    <xf numFmtId="0" fontId="55" fillId="9" borderId="35" xfId="0" applyFont="1" applyFill="1" applyBorder="1" applyAlignment="1">
      <alignment vertical="center" wrapText="1"/>
    </xf>
    <xf numFmtId="0" fontId="54" fillId="9" borderId="35" xfId="0" applyFont="1" applyFill="1" applyBorder="1" applyAlignment="1">
      <alignment vertical="center" wrapText="1"/>
    </xf>
    <xf numFmtId="0" fontId="55" fillId="9" borderId="36" xfId="0" applyFont="1" applyFill="1" applyBorder="1" applyAlignment="1">
      <alignment vertical="center" wrapText="1"/>
    </xf>
    <xf numFmtId="0" fontId="54" fillId="9" borderId="36" xfId="0" applyFont="1" applyFill="1" applyBorder="1" applyAlignment="1">
      <alignment vertical="center" wrapText="1"/>
    </xf>
    <xf numFmtId="10" fontId="55" fillId="0" borderId="35" xfId="0" applyNumberFormat="1" applyFont="1" applyFill="1" applyBorder="1" applyAlignment="1">
      <alignment horizontal="right" vertical="center" wrapText="1"/>
    </xf>
    <xf numFmtId="10" fontId="54" fillId="0" borderId="35" xfId="0" applyNumberFormat="1" applyFont="1" applyFill="1" applyBorder="1" applyAlignment="1">
      <alignment horizontal="right" vertical="center" wrapText="1"/>
    </xf>
    <xf numFmtId="10" fontId="54" fillId="0" borderId="36" xfId="0" applyNumberFormat="1" applyFont="1" applyFill="1" applyBorder="1" applyAlignment="1">
      <alignment horizontal="right" vertical="center" wrapText="1"/>
    </xf>
    <xf numFmtId="0" fontId="55" fillId="0" borderId="35" xfId="0" applyFont="1" applyFill="1" applyBorder="1" applyAlignment="1">
      <alignment horizontal="right" vertical="center"/>
    </xf>
    <xf numFmtId="2" fontId="55" fillId="0" borderId="24" xfId="8" applyNumberFormat="1" applyFont="1" applyFill="1" applyBorder="1" applyAlignment="1">
      <alignment horizontal="right"/>
    </xf>
    <xf numFmtId="2" fontId="54" fillId="0" borderId="24" xfId="8" applyNumberFormat="1" applyFont="1" applyFill="1" applyBorder="1" applyAlignment="1">
      <alignment horizontal="right"/>
    </xf>
    <xf numFmtId="2" fontId="54" fillId="0" borderId="25" xfId="8" applyNumberFormat="1" applyFont="1" applyFill="1" applyBorder="1" applyAlignment="1">
      <alignment horizontal="right"/>
    </xf>
    <xf numFmtId="2" fontId="55" fillId="0" borderId="24" xfId="0" applyNumberFormat="1" applyFont="1" applyFill="1" applyBorder="1"/>
    <xf numFmtId="2" fontId="54" fillId="0" borderId="24" xfId="0" applyNumberFormat="1" applyFont="1" applyFill="1" applyBorder="1"/>
    <xf numFmtId="2" fontId="54" fillId="0" borderId="25" xfId="0" applyNumberFormat="1" applyFont="1" applyFill="1" applyBorder="1"/>
    <xf numFmtId="2" fontId="54" fillId="0" borderId="51" xfId="0" applyNumberFormat="1" applyFont="1" applyFill="1" applyBorder="1"/>
    <xf numFmtId="2" fontId="54" fillId="0" borderId="51" xfId="0" applyNumberFormat="1" applyFont="1" applyFill="1" applyBorder="1" applyAlignment="1">
      <alignment horizontal="right"/>
    </xf>
    <xf numFmtId="2" fontId="54" fillId="0" borderId="61" xfId="0" applyNumberFormat="1" applyFont="1" applyFill="1" applyBorder="1"/>
    <xf numFmtId="2" fontId="55" fillId="0" borderId="51" xfId="0" applyNumberFormat="1" applyFont="1" applyFill="1" applyBorder="1"/>
    <xf numFmtId="3" fontId="55" fillId="0" borderId="35" xfId="0" applyNumberFormat="1" applyFont="1" applyFill="1" applyBorder="1"/>
    <xf numFmtId="3" fontId="54" fillId="0" borderId="35" xfId="0" applyNumberFormat="1" applyFont="1" applyFill="1" applyBorder="1"/>
    <xf numFmtId="0" fontId="54" fillId="0" borderId="35" xfId="0" applyFont="1" applyFill="1" applyBorder="1"/>
    <xf numFmtId="166" fontId="22" fillId="0" borderId="0" xfId="0" applyNumberFormat="1" applyFont="1" applyFill="1" applyBorder="1"/>
    <xf numFmtId="166" fontId="54" fillId="0" borderId="35" xfId="0" applyNumberFormat="1" applyFont="1" applyFill="1" applyBorder="1"/>
    <xf numFmtId="166" fontId="54" fillId="0" borderId="36" xfId="0" applyNumberFormat="1" applyFont="1" applyFill="1" applyBorder="1"/>
    <xf numFmtId="10" fontId="54" fillId="0" borderId="35" xfId="0" applyNumberFormat="1" applyFont="1" applyFill="1" applyBorder="1" applyAlignment="1">
      <alignment vertical="center" wrapText="1"/>
    </xf>
    <xf numFmtId="10" fontId="54" fillId="0" borderId="36" xfId="0" applyNumberFormat="1" applyFont="1" applyFill="1" applyBorder="1" applyAlignment="1">
      <alignment vertical="center" wrapText="1"/>
    </xf>
    <xf numFmtId="10" fontId="54" fillId="0" borderId="24" xfId="0" applyNumberFormat="1" applyFont="1" applyFill="1" applyBorder="1" applyAlignment="1">
      <alignment horizontal="right" vertical="center" wrapText="1"/>
    </xf>
    <xf numFmtId="10" fontId="54" fillId="0" borderId="25" xfId="0" applyNumberFormat="1" applyFont="1" applyFill="1" applyBorder="1" applyAlignment="1">
      <alignment horizontal="right" vertical="center" wrapText="1"/>
    </xf>
    <xf numFmtId="0" fontId="54" fillId="0" borderId="35" xfId="0" applyFont="1" applyFill="1" applyBorder="1" applyAlignment="1">
      <alignment vertical="center" wrapText="1"/>
    </xf>
    <xf numFmtId="0" fontId="54" fillId="0" borderId="35" xfId="0" applyFont="1" applyFill="1" applyBorder="1" applyAlignment="1">
      <alignment horizontal="right" vertical="center" wrapText="1"/>
    </xf>
    <xf numFmtId="0" fontId="55" fillId="9" borderId="22" xfId="0" applyFont="1" applyFill="1" applyBorder="1" applyAlignment="1">
      <alignment vertical="center" wrapText="1"/>
    </xf>
    <xf numFmtId="0" fontId="54" fillId="9" borderId="24" xfId="0" applyFont="1" applyFill="1" applyBorder="1" applyAlignment="1">
      <alignment vertical="center" wrapText="1"/>
    </xf>
    <xf numFmtId="0" fontId="54" fillId="9" borderId="25" xfId="0" applyFont="1" applyFill="1" applyBorder="1" applyAlignment="1">
      <alignment vertical="center" wrapText="1"/>
    </xf>
    <xf numFmtId="0" fontId="54" fillId="0" borderId="25" xfId="0" applyFont="1" applyFill="1" applyBorder="1" applyAlignment="1">
      <alignment horizontal="center" vertical="center" wrapText="1"/>
    </xf>
    <xf numFmtId="0" fontId="54" fillId="0" borderId="35" xfId="0" applyFont="1" applyFill="1" applyBorder="1" applyAlignment="1">
      <alignment horizontal="center" vertical="center" wrapText="1"/>
    </xf>
    <xf numFmtId="1" fontId="22" fillId="0" borderId="0" xfId="0" applyNumberFormat="1" applyFont="1" applyFill="1" applyBorder="1" applyAlignment="1">
      <alignment horizontal="right" vertical="center" wrapText="1"/>
    </xf>
    <xf numFmtId="2" fontId="22" fillId="0" borderId="0" xfId="0" applyNumberFormat="1" applyFont="1" applyFill="1" applyBorder="1" applyAlignment="1">
      <alignment horizontal="right" vertical="center" wrapText="1"/>
    </xf>
    <xf numFmtId="1" fontId="18" fillId="0" borderId="0" xfId="3" applyNumberFormat="1" applyFont="1" applyFill="1" applyBorder="1" applyAlignment="1">
      <alignment horizontal="right" vertical="center" wrapText="1"/>
    </xf>
    <xf numFmtId="2" fontId="22" fillId="2" borderId="0" xfId="0" applyNumberFormat="1" applyFont="1" applyFill="1" applyBorder="1" applyAlignment="1">
      <alignment horizontal="right" vertical="center" wrapText="1"/>
    </xf>
    <xf numFmtId="49" fontId="22" fillId="2" borderId="0" xfId="0" applyNumberFormat="1" applyFont="1" applyFill="1" applyBorder="1" applyAlignment="1">
      <alignment horizontal="right" vertical="center" wrapText="1"/>
    </xf>
    <xf numFmtId="3" fontId="22" fillId="2" borderId="0" xfId="0" applyNumberFormat="1" applyFont="1" applyFill="1" applyBorder="1" applyAlignment="1">
      <alignment horizontal="right" vertical="center" wrapText="1"/>
    </xf>
    <xf numFmtId="0" fontId="54" fillId="0" borderId="0" xfId="0" applyFont="1" applyFill="1" applyBorder="1" applyAlignment="1">
      <alignment horizontal="left" vertical="center"/>
    </xf>
    <xf numFmtId="167" fontId="22" fillId="0" borderId="0" xfId="0" applyNumberFormat="1" applyFont="1" applyBorder="1" applyAlignment="1">
      <alignment horizontal="right" vertical="center" wrapText="1"/>
    </xf>
    <xf numFmtId="0" fontId="18" fillId="0" borderId="43" xfId="3" applyFont="1" applyBorder="1" applyAlignment="1">
      <alignment horizontal="right" vertical="center" wrapText="1"/>
    </xf>
    <xf numFmtId="167" fontId="22" fillId="0" borderId="35" xfId="0" applyNumberFormat="1" applyFont="1" applyBorder="1" applyAlignment="1">
      <alignment horizontal="right" vertical="center" wrapText="1"/>
    </xf>
    <xf numFmtId="0" fontId="18" fillId="0" borderId="62" xfId="3" applyFont="1" applyBorder="1" applyAlignment="1">
      <alignment horizontal="right" vertical="center" wrapText="1"/>
    </xf>
    <xf numFmtId="3" fontId="54" fillId="0" borderId="35" xfId="0" applyNumberFormat="1" applyFont="1" applyBorder="1" applyAlignment="1">
      <alignment horizontal="right" vertical="center" wrapText="1"/>
    </xf>
    <xf numFmtId="0" fontId="54" fillId="0" borderId="35" xfId="0" applyFont="1" applyBorder="1" applyAlignment="1">
      <alignment vertical="center" wrapText="1"/>
    </xf>
    <xf numFmtId="3" fontId="54" fillId="0" borderId="35" xfId="0" applyNumberFormat="1" applyFont="1" applyBorder="1" applyAlignment="1">
      <alignment vertical="center" wrapText="1"/>
    </xf>
    <xf numFmtId="3" fontId="54" fillId="0" borderId="36" xfId="0" applyNumberFormat="1" applyFont="1" applyBorder="1" applyAlignment="1">
      <alignment horizontal="right" vertical="center" wrapText="1"/>
    </xf>
    <xf numFmtId="3" fontId="54" fillId="9" borderId="35" xfId="0" applyNumberFormat="1" applyFont="1" applyFill="1" applyBorder="1" applyAlignment="1">
      <alignment horizontal="right" vertical="center" wrapText="1"/>
    </xf>
    <xf numFmtId="3" fontId="17" fillId="9" borderId="34" xfId="0" applyNumberFormat="1" applyFont="1" applyFill="1" applyBorder="1" applyAlignment="1">
      <alignment horizontal="right" vertical="center" wrapText="1"/>
    </xf>
    <xf numFmtId="0" fontId="17" fillId="9" borderId="34" xfId="0" applyFont="1" applyFill="1" applyBorder="1" applyAlignment="1">
      <alignment horizontal="right" vertical="center" wrapText="1"/>
    </xf>
    <xf numFmtId="0" fontId="57" fillId="0" borderId="35" xfId="0" applyFont="1" applyBorder="1" applyAlignment="1">
      <alignment wrapText="1"/>
    </xf>
    <xf numFmtId="3" fontId="41" fillId="9" borderId="35" xfId="0" applyNumberFormat="1" applyFont="1" applyFill="1" applyBorder="1" applyAlignment="1">
      <alignment horizontal="right" vertical="center" wrapText="1"/>
    </xf>
    <xf numFmtId="0" fontId="41" fillId="9" borderId="35" xfId="0" applyFont="1" applyFill="1" applyBorder="1" applyAlignment="1">
      <alignment horizontal="right" vertical="center" wrapText="1"/>
    </xf>
    <xf numFmtId="3" fontId="55" fillId="0" borderId="34" xfId="0" applyNumberFormat="1" applyFont="1" applyBorder="1" applyAlignment="1">
      <alignment horizontal="right" vertical="center" wrapText="1"/>
    </xf>
    <xf numFmtId="0" fontId="55" fillId="0" borderId="22" xfId="0" applyFont="1" applyBorder="1" applyAlignment="1">
      <alignment vertical="center" wrapText="1"/>
    </xf>
    <xf numFmtId="0" fontId="55" fillId="0" borderId="63" xfId="0" applyFont="1" applyBorder="1" applyAlignment="1">
      <alignment vertical="center" wrapText="1"/>
    </xf>
    <xf numFmtId="0" fontId="55" fillId="0" borderId="66" xfId="0" applyFont="1" applyBorder="1" applyAlignment="1">
      <alignment vertical="center" wrapText="1"/>
    </xf>
    <xf numFmtId="0" fontId="54" fillId="0" borderId="64" xfId="0" applyFont="1" applyBorder="1" applyAlignment="1">
      <alignment vertical="center" wrapText="1"/>
    </xf>
    <xf numFmtId="0" fontId="54" fillId="0" borderId="67" xfId="0" applyFont="1" applyBorder="1" applyAlignment="1">
      <alignment vertical="center" wrapText="1"/>
    </xf>
    <xf numFmtId="0" fontId="54" fillId="0" borderId="65" xfId="0" applyFont="1" applyBorder="1" applyAlignment="1">
      <alignment horizontal="left" vertical="center" wrapText="1"/>
    </xf>
    <xf numFmtId="0" fontId="55" fillId="0" borderId="64" xfId="0" applyFont="1" applyBorder="1" applyAlignment="1">
      <alignment vertical="center" wrapText="1"/>
    </xf>
    <xf numFmtId="0" fontId="54" fillId="0" borderId="68" xfId="0" applyFont="1" applyBorder="1" applyAlignment="1">
      <alignment vertical="center" wrapText="1"/>
    </xf>
    <xf numFmtId="3" fontId="27" fillId="0" borderId="0" xfId="3" applyNumberFormat="1" applyFont="1" applyAlignment="1">
      <alignment wrapText="1"/>
    </xf>
    <xf numFmtId="164" fontId="17" fillId="0" borderId="0" xfId="1" applyFont="1" applyAlignment="1">
      <alignment horizontal="right" vertical="center"/>
    </xf>
    <xf numFmtId="164" fontId="17" fillId="0" borderId="0" xfId="1" applyFont="1" applyAlignment="1">
      <alignment horizontal="right" vertical="center" wrapText="1"/>
    </xf>
    <xf numFmtId="164" fontId="17" fillId="0" borderId="0" xfId="3" applyNumberFormat="1" applyFont="1" applyAlignment="1">
      <alignment horizontal="right" vertical="center" wrapText="1"/>
    </xf>
    <xf numFmtId="0" fontId="17" fillId="0" borderId="71" xfId="0" applyFont="1" applyBorder="1" applyAlignment="1">
      <alignment horizontal="left" vertical="center" wrapText="1"/>
    </xf>
    <xf numFmtId="0" fontId="55" fillId="0" borderId="71" xfId="0" applyFont="1" applyBorder="1" applyAlignment="1">
      <alignment vertical="center" wrapText="1"/>
    </xf>
    <xf numFmtId="0" fontId="58" fillId="0" borderId="64" xfId="0" applyFont="1" applyBorder="1"/>
    <xf numFmtId="0" fontId="58" fillId="0" borderId="68" xfId="0" applyFont="1" applyBorder="1"/>
    <xf numFmtId="0" fontId="55" fillId="0" borderId="69" xfId="0" applyFont="1" applyBorder="1" applyAlignment="1">
      <alignment vertical="center" wrapText="1"/>
    </xf>
    <xf numFmtId="0" fontId="54" fillId="0" borderId="69" xfId="0" applyFont="1" applyBorder="1" applyAlignment="1">
      <alignment vertical="center" wrapText="1"/>
    </xf>
    <xf numFmtId="0" fontId="54" fillId="0" borderId="70" xfId="0" applyFont="1" applyBorder="1" applyAlignment="1">
      <alignment vertical="center" wrapText="1"/>
    </xf>
    <xf numFmtId="0" fontId="59" fillId="0" borderId="22" xfId="0" applyFont="1" applyBorder="1"/>
    <xf numFmtId="0" fontId="54" fillId="0" borderId="63" xfId="0" applyFont="1" applyBorder="1" applyAlignment="1">
      <alignment vertical="center" wrapText="1"/>
    </xf>
    <xf numFmtId="0" fontId="57" fillId="0" borderId="24" xfId="0" applyFont="1" applyBorder="1"/>
    <xf numFmtId="0" fontId="54" fillId="9" borderId="64" xfId="0" applyFont="1" applyFill="1" applyBorder="1" applyAlignment="1">
      <alignment vertical="center" wrapText="1"/>
    </xf>
    <xf numFmtId="0" fontId="57" fillId="0" borderId="25" xfId="0" applyFont="1" applyBorder="1"/>
    <xf numFmtId="0" fontId="55" fillId="0" borderId="65" xfId="0" applyFont="1" applyBorder="1" applyAlignment="1">
      <alignment vertical="center" wrapText="1"/>
    </xf>
    <xf numFmtId="0" fontId="20" fillId="2" borderId="0" xfId="3" applyFont="1" applyFill="1" applyBorder="1" applyAlignment="1">
      <alignment horizontal="left" vertical="center" wrapText="1"/>
    </xf>
    <xf numFmtId="3" fontId="20" fillId="0" borderId="0" xfId="3" applyNumberFormat="1" applyFont="1" applyFill="1" applyBorder="1" applyAlignment="1">
      <alignment horizontal="right" vertical="center" wrapText="1"/>
    </xf>
    <xf numFmtId="3" fontId="20" fillId="2" borderId="0" xfId="3" applyNumberFormat="1" applyFont="1" applyFill="1" applyBorder="1" applyAlignment="1">
      <alignment horizontal="right" vertical="center" wrapText="1"/>
    </xf>
    <xf numFmtId="3" fontId="53" fillId="0" borderId="0" xfId="3" applyNumberFormat="1" applyFont="1" applyFill="1" applyBorder="1" applyAlignment="1">
      <alignment vertical="center"/>
    </xf>
    <xf numFmtId="0" fontId="20" fillId="2" borderId="25" xfId="3" applyFont="1" applyFill="1" applyBorder="1" applyAlignment="1">
      <alignment vertical="center" wrapText="1"/>
    </xf>
    <xf numFmtId="9" fontId="18" fillId="2" borderId="16" xfId="8" applyFont="1" applyFill="1" applyBorder="1" applyAlignment="1">
      <alignment vertical="center" wrapText="1"/>
    </xf>
    <xf numFmtId="9" fontId="18" fillId="2" borderId="15" xfId="8" applyFont="1" applyFill="1" applyBorder="1" applyAlignment="1">
      <alignment vertical="center" wrapText="1"/>
    </xf>
    <xf numFmtId="164" fontId="55" fillId="10" borderId="71" xfId="1" applyNumberFormat="1" applyFont="1" applyFill="1" applyBorder="1" applyAlignment="1">
      <alignment vertical="center" wrapText="1"/>
    </xf>
    <xf numFmtId="2" fontId="54" fillId="10" borderId="64" xfId="0" applyNumberFormat="1" applyFont="1" applyFill="1" applyBorder="1" applyAlignment="1">
      <alignment horizontal="right" vertical="center" wrapText="1"/>
    </xf>
    <xf numFmtId="164" fontId="54" fillId="10" borderId="64" xfId="1" applyNumberFormat="1" applyFont="1" applyFill="1" applyBorder="1" applyAlignment="1">
      <alignment horizontal="right" vertical="center" wrapText="1"/>
    </xf>
    <xf numFmtId="4" fontId="54" fillId="10" borderId="64" xfId="0" applyNumberFormat="1" applyFont="1" applyFill="1" applyBorder="1" applyAlignment="1">
      <alignment horizontal="right" vertical="center" wrapText="1"/>
    </xf>
    <xf numFmtId="0" fontId="54" fillId="10" borderId="64" xfId="0" applyFont="1" applyFill="1" applyBorder="1" applyAlignment="1">
      <alignment horizontal="right" vertical="center" wrapText="1"/>
    </xf>
    <xf numFmtId="165" fontId="41" fillId="0" borderId="61" xfId="1" applyNumberFormat="1" applyFont="1" applyFill="1" applyBorder="1" applyAlignment="1">
      <alignment horizontal="right" vertical="center" wrapText="1"/>
    </xf>
    <xf numFmtId="0" fontId="17" fillId="5" borderId="4" xfId="3" applyFont="1" applyFill="1" applyBorder="1" applyAlignment="1">
      <alignment horizontal="left" vertical="center" wrapText="1"/>
    </xf>
    <xf numFmtId="164" fontId="20" fillId="0" borderId="0" xfId="1" applyFont="1" applyBorder="1" applyAlignment="1">
      <alignment vertical="center" wrapText="1"/>
    </xf>
    <xf numFmtId="165" fontId="18" fillId="2" borderId="35" xfId="1" applyNumberFormat="1" applyFont="1" applyFill="1" applyBorder="1" applyAlignment="1">
      <alignment vertical="center" wrapText="1"/>
    </xf>
    <xf numFmtId="0" fontId="20" fillId="0" borderId="24" xfId="3" applyFont="1" applyBorder="1" applyAlignment="1">
      <alignment vertical="center" wrapText="1"/>
    </xf>
    <xf numFmtId="165" fontId="18" fillId="2" borderId="36" xfId="1" applyNumberFormat="1" applyFont="1" applyFill="1" applyBorder="1" applyAlignment="1">
      <alignment vertical="center" wrapText="1"/>
    </xf>
    <xf numFmtId="0" fontId="17" fillId="0" borderId="72" xfId="3" applyFont="1" applyBorder="1" applyAlignment="1">
      <alignment horizontal="left" vertical="center" wrapText="1"/>
    </xf>
    <xf numFmtId="0" fontId="20" fillId="0" borderId="73" xfId="3" applyFont="1" applyBorder="1" applyAlignment="1">
      <alignment vertical="center" wrapText="1"/>
    </xf>
    <xf numFmtId="43" fontId="20" fillId="0" borderId="74" xfId="3" applyNumberFormat="1" applyFont="1" applyBorder="1" applyAlignment="1">
      <alignment vertical="center" wrapText="1"/>
    </xf>
    <xf numFmtId="0" fontId="19" fillId="0" borderId="75" xfId="0" applyFont="1" applyBorder="1"/>
    <xf numFmtId="4" fontId="18" fillId="0" borderId="76" xfId="3" applyNumberFormat="1" applyFont="1" applyFill="1" applyBorder="1" applyAlignment="1">
      <alignment horizontal="right" vertical="center" wrapText="1"/>
    </xf>
    <xf numFmtId="0" fontId="19" fillId="0" borderId="77" xfId="0" applyFont="1" applyBorder="1"/>
    <xf numFmtId="0" fontId="18" fillId="0" borderId="78" xfId="3" applyFont="1" applyBorder="1" applyAlignment="1">
      <alignment vertical="center" wrapText="1"/>
    </xf>
    <xf numFmtId="2" fontId="18" fillId="0" borderId="78" xfId="3" applyNumberFormat="1" applyFont="1" applyBorder="1" applyAlignment="1">
      <alignment horizontal="right" vertical="center" wrapText="1"/>
    </xf>
    <xf numFmtId="2" fontId="18" fillId="0" borderId="79" xfId="3" applyNumberFormat="1" applyFont="1" applyFill="1" applyBorder="1" applyAlignment="1">
      <alignment horizontal="right" vertical="center" wrapText="1"/>
    </xf>
    <xf numFmtId="0" fontId="3" fillId="11" borderId="0" xfId="3" applyFill="1"/>
    <xf numFmtId="0" fontId="0" fillId="11" borderId="0" xfId="0" applyFill="1"/>
    <xf numFmtId="0" fontId="42" fillId="11" borderId="0" xfId="3" applyFont="1" applyFill="1" applyAlignment="1">
      <alignment vertical="center"/>
    </xf>
    <xf numFmtId="0" fontId="26" fillId="11" borderId="0" xfId="3" applyFont="1" applyFill="1" applyAlignment="1">
      <alignment vertical="center"/>
    </xf>
    <xf numFmtId="0" fontId="27" fillId="11" borderId="0" xfId="3" applyFont="1" applyFill="1"/>
    <xf numFmtId="0" fontId="3" fillId="12" borderId="0" xfId="3" applyFill="1"/>
    <xf numFmtId="0" fontId="0" fillId="12" borderId="0" xfId="0" applyFill="1"/>
    <xf numFmtId="0" fontId="42" fillId="12" borderId="0" xfId="3" applyFont="1" applyFill="1" applyAlignment="1">
      <alignment vertical="center"/>
    </xf>
    <xf numFmtId="0" fontId="26" fillId="12" borderId="0" xfId="3" applyFont="1" applyFill="1" applyAlignment="1">
      <alignment vertical="center"/>
    </xf>
    <xf numFmtId="0" fontId="27" fillId="12" borderId="0" xfId="3" applyFont="1" applyFill="1"/>
    <xf numFmtId="0" fontId="40" fillId="13" borderId="0" xfId="0" applyFont="1" applyFill="1" applyAlignment="1">
      <alignment wrapText="1"/>
    </xf>
    <xf numFmtId="0" fontId="0" fillId="13" borderId="0" xfId="0" applyFill="1"/>
    <xf numFmtId="0" fontId="42" fillId="13" borderId="0" xfId="3" applyFont="1" applyFill="1" applyAlignment="1">
      <alignment vertical="center"/>
    </xf>
    <xf numFmtId="0" fontId="36" fillId="13" borderId="0" xfId="0" applyFont="1" applyFill="1" applyAlignment="1">
      <alignment vertical="center"/>
    </xf>
    <xf numFmtId="0" fontId="19" fillId="13" borderId="0" xfId="0" applyFont="1" applyFill="1"/>
    <xf numFmtId="0" fontId="47" fillId="13" borderId="0" xfId="0" applyFont="1" applyFill="1"/>
    <xf numFmtId="0" fontId="15" fillId="13" borderId="0" xfId="0" applyFont="1" applyFill="1" applyAlignment="1">
      <alignment vertical="center"/>
    </xf>
    <xf numFmtId="0" fontId="48" fillId="13" borderId="0" xfId="0" applyFont="1" applyFill="1"/>
    <xf numFmtId="0" fontId="17" fillId="6" borderId="80" xfId="3" applyFont="1" applyFill="1" applyBorder="1" applyAlignment="1">
      <alignment horizontal="right" vertical="center" wrapText="1"/>
    </xf>
    <xf numFmtId="0" fontId="20" fillId="2" borderId="24" xfId="3" applyFont="1" applyFill="1" applyBorder="1" applyAlignment="1">
      <alignment horizontal="right" vertical="center" wrapText="1"/>
    </xf>
    <xf numFmtId="3" fontId="20" fillId="0" borderId="81" xfId="3" applyNumberFormat="1" applyFont="1" applyFill="1" applyBorder="1" applyAlignment="1">
      <alignment horizontal="right" vertical="center" wrapText="1"/>
    </xf>
    <xf numFmtId="3" fontId="20" fillId="0" borderId="26" xfId="3" applyNumberFormat="1" applyFont="1" applyFill="1" applyBorder="1" applyAlignment="1">
      <alignment horizontal="right" vertical="center" wrapText="1"/>
    </xf>
    <xf numFmtId="3" fontId="20" fillId="2" borderId="26" xfId="3" applyNumberFormat="1" applyFont="1" applyFill="1" applyBorder="1" applyAlignment="1">
      <alignment horizontal="right" vertical="center" wrapText="1"/>
    </xf>
    <xf numFmtId="0" fontId="14" fillId="12" borderId="0" xfId="0" applyFont="1" applyFill="1"/>
    <xf numFmtId="0" fontId="45" fillId="12" borderId="0" xfId="3" applyFont="1" applyFill="1" applyAlignment="1">
      <alignment vertical="center"/>
    </xf>
    <xf numFmtId="0" fontId="15" fillId="12" borderId="0" xfId="0" applyFont="1" applyFill="1" applyAlignment="1">
      <alignment vertical="center"/>
    </xf>
    <xf numFmtId="0" fontId="11" fillId="12" borderId="0" xfId="0" applyFont="1" applyFill="1" applyAlignment="1">
      <alignment vertical="center"/>
    </xf>
    <xf numFmtId="0" fontId="13" fillId="12" borderId="0" xfId="0" applyFont="1" applyFill="1" applyAlignment="1">
      <alignment vertical="center"/>
    </xf>
    <xf numFmtId="0" fontId="15" fillId="12" borderId="0" xfId="0" applyFont="1" applyFill="1" applyAlignment="1">
      <alignment vertical="top"/>
    </xf>
    <xf numFmtId="0" fontId="19" fillId="12" borderId="0" xfId="0" applyFont="1" applyFill="1"/>
    <xf numFmtId="0" fontId="16" fillId="12" borderId="0" xfId="0" applyFont="1" applyFill="1" applyAlignment="1">
      <alignment vertical="center"/>
    </xf>
    <xf numFmtId="0" fontId="23" fillId="12" borderId="0" xfId="2" applyFont="1" applyFill="1" applyAlignment="1">
      <alignment vertical="center"/>
    </xf>
    <xf numFmtId="0" fontId="47" fillId="12" borderId="0" xfId="0" applyFont="1" applyFill="1"/>
    <xf numFmtId="0" fontId="48" fillId="12" borderId="0" xfId="0" applyFont="1" applyFill="1"/>
    <xf numFmtId="0" fontId="17" fillId="3" borderId="34" xfId="3" applyFont="1" applyFill="1" applyBorder="1" applyAlignment="1">
      <alignment vertical="center" wrapText="1"/>
    </xf>
    <xf numFmtId="0" fontId="17" fillId="3" borderId="22" xfId="3" applyFont="1" applyFill="1" applyBorder="1" applyAlignment="1">
      <alignment horizontal="left" vertical="center" wrapText="1"/>
    </xf>
    <xf numFmtId="0" fontId="17" fillId="14" borderId="34" xfId="0" applyFont="1" applyFill="1" applyBorder="1" applyAlignment="1">
      <alignment horizontal="left" vertical="center" wrapText="1"/>
    </xf>
    <xf numFmtId="0" fontId="17" fillId="14" borderId="22" xfId="0" applyFont="1" applyFill="1" applyBorder="1" applyAlignment="1">
      <alignment horizontal="left" vertical="center" wrapText="1"/>
    </xf>
    <xf numFmtId="0" fontId="17" fillId="14" borderId="39" xfId="0" applyFont="1" applyFill="1" applyBorder="1" applyAlignment="1">
      <alignment horizontal="center" vertical="center" wrapText="1"/>
    </xf>
    <xf numFmtId="0" fontId="17" fillId="3" borderId="39" xfId="3" applyFont="1" applyFill="1" applyBorder="1" applyAlignment="1">
      <alignment horizontal="center" vertical="center" wrapText="1"/>
    </xf>
    <xf numFmtId="0" fontId="17" fillId="14" borderId="34" xfId="0" applyFont="1" applyFill="1" applyBorder="1" applyAlignment="1">
      <alignment horizontal="center" vertical="center" wrapText="1"/>
    </xf>
    <xf numFmtId="0" fontId="17" fillId="14" borderId="55" xfId="0" applyFont="1" applyFill="1" applyBorder="1" applyAlignment="1">
      <alignment horizontal="center" vertical="center" wrapText="1"/>
    </xf>
    <xf numFmtId="0" fontId="17" fillId="14" borderId="60" xfId="0" applyFont="1" applyFill="1" applyBorder="1" applyAlignment="1">
      <alignment horizontal="center" vertical="center" wrapText="1"/>
    </xf>
    <xf numFmtId="0" fontId="17" fillId="14" borderId="59" xfId="0" applyFont="1" applyFill="1" applyBorder="1" applyAlignment="1">
      <alignment horizontal="center" vertical="center" wrapText="1"/>
    </xf>
    <xf numFmtId="0" fontId="17" fillId="3" borderId="34" xfId="3" applyFont="1" applyFill="1" applyBorder="1" applyAlignment="1">
      <alignment horizontal="center" vertical="center" wrapText="1"/>
    </xf>
    <xf numFmtId="0" fontId="17" fillId="3" borderId="39" xfId="3" applyFont="1" applyFill="1" applyBorder="1" applyAlignment="1">
      <alignment vertical="center" wrapText="1"/>
    </xf>
    <xf numFmtId="0" fontId="17" fillId="14" borderId="49" xfId="0" applyFont="1" applyFill="1" applyBorder="1" applyAlignment="1">
      <alignment horizontal="left" vertical="center" wrapText="1"/>
    </xf>
    <xf numFmtId="0" fontId="17" fillId="3" borderId="45" xfId="3" applyFont="1" applyFill="1" applyBorder="1" applyAlignment="1">
      <alignment horizontal="left" vertical="center" wrapText="1"/>
    </xf>
    <xf numFmtId="0" fontId="17" fillId="3" borderId="39" xfId="3" applyFont="1" applyFill="1" applyBorder="1" applyAlignment="1">
      <alignment horizontal="left" vertical="center" wrapText="1"/>
    </xf>
    <xf numFmtId="0" fontId="43" fillId="11" borderId="0" xfId="3" applyFont="1" applyFill="1" applyAlignment="1">
      <alignment vertical="center"/>
    </xf>
    <xf numFmtId="0" fontId="0" fillId="15" borderId="0" xfId="0" applyFill="1"/>
    <xf numFmtId="0" fontId="43" fillId="15" borderId="0" xfId="3" applyFont="1" applyFill="1" applyAlignment="1">
      <alignment vertical="center"/>
    </xf>
    <xf numFmtId="0" fontId="18" fillId="15" borderId="0" xfId="3" applyFont="1" applyFill="1" applyAlignment="1">
      <alignment vertical="center"/>
    </xf>
    <xf numFmtId="0" fontId="27" fillId="15" borderId="0" xfId="3" applyFont="1" applyFill="1"/>
    <xf numFmtId="0" fontId="3" fillId="15" borderId="0" xfId="3" applyFill="1"/>
    <xf numFmtId="0" fontId="20" fillId="15" borderId="0" xfId="3" applyFont="1" applyFill="1" applyAlignment="1">
      <alignment vertical="center"/>
    </xf>
    <xf numFmtId="0" fontId="19" fillId="15" borderId="0" xfId="0" applyFont="1" applyFill="1"/>
    <xf numFmtId="0" fontId="20" fillId="11" borderId="0" xfId="3" applyFont="1" applyFill="1" applyAlignment="1">
      <alignment vertical="center"/>
    </xf>
    <xf numFmtId="0" fontId="19" fillId="11" borderId="0" xfId="0" applyFont="1" applyFill="1"/>
    <xf numFmtId="0" fontId="33" fillId="11" borderId="0" xfId="3" applyFont="1" applyFill="1" applyAlignment="1">
      <alignment vertical="center"/>
    </xf>
    <xf numFmtId="0" fontId="18" fillId="11" borderId="0" xfId="3" applyFont="1" applyFill="1"/>
    <xf numFmtId="0" fontId="28" fillId="11" borderId="0" xfId="3" applyFont="1" applyFill="1" applyAlignment="1">
      <alignment vertical="center"/>
    </xf>
    <xf numFmtId="0" fontId="17" fillId="16" borderId="34" xfId="3" applyFont="1" applyFill="1" applyBorder="1" applyAlignment="1">
      <alignment horizontal="left" vertical="center" wrapText="1"/>
    </xf>
    <xf numFmtId="0" fontId="17" fillId="16" borderId="47" xfId="3" applyFont="1" applyFill="1" applyBorder="1" applyAlignment="1">
      <alignment horizontal="right" vertical="center" wrapText="1"/>
    </xf>
    <xf numFmtId="0" fontId="17" fillId="16" borderId="27" xfId="3" applyFont="1" applyFill="1" applyBorder="1" applyAlignment="1">
      <alignment horizontal="right" vertical="center" wrapText="1"/>
    </xf>
    <xf numFmtId="0" fontId="17" fillId="16" borderId="28" xfId="3" applyFont="1" applyFill="1" applyBorder="1" applyAlignment="1">
      <alignment horizontal="right" vertical="center" wrapText="1"/>
    </xf>
    <xf numFmtId="0" fontId="17" fillId="16" borderId="34" xfId="3" applyFont="1" applyFill="1" applyBorder="1" applyAlignment="1">
      <alignment vertical="center" wrapText="1"/>
    </xf>
    <xf numFmtId="0" fontId="17" fillId="16" borderId="7" xfId="3" applyFont="1" applyFill="1" applyBorder="1" applyAlignment="1">
      <alignment vertical="center" wrapText="1"/>
    </xf>
    <xf numFmtId="0" fontId="17" fillId="16" borderId="17" xfId="3" applyFont="1" applyFill="1" applyBorder="1" applyAlignment="1">
      <alignment horizontal="left" vertical="center" wrapText="1"/>
    </xf>
    <xf numFmtId="0" fontId="17" fillId="3" borderId="82" xfId="3" applyFont="1" applyFill="1" applyBorder="1" applyAlignment="1">
      <alignment vertical="center" wrapText="1"/>
    </xf>
    <xf numFmtId="0" fontId="18" fillId="0" borderId="36" xfId="3" applyFont="1" applyFill="1" applyBorder="1" applyAlignment="1">
      <alignment vertical="center" wrapText="1"/>
    </xf>
    <xf numFmtId="0" fontId="18" fillId="0" borderId="41" xfId="3" applyFont="1" applyBorder="1" applyAlignment="1">
      <alignment vertical="center" wrapText="1"/>
    </xf>
    <xf numFmtId="0" fontId="18" fillId="0" borderId="40" xfId="3" applyFont="1" applyBorder="1" applyAlignment="1">
      <alignment vertical="center" wrapText="1"/>
    </xf>
    <xf numFmtId="0" fontId="17" fillId="3" borderId="22" xfId="3" applyFont="1" applyFill="1" applyBorder="1" applyAlignment="1">
      <alignment vertical="center" wrapText="1"/>
    </xf>
    <xf numFmtId="0" fontId="17" fillId="3" borderId="42" xfId="3" applyFont="1" applyFill="1" applyBorder="1" applyAlignment="1">
      <alignment vertical="center" wrapText="1"/>
    </xf>
    <xf numFmtId="0" fontId="0" fillId="0" borderId="0" xfId="0" applyFill="1" applyBorder="1"/>
    <xf numFmtId="0" fontId="5" fillId="2" borderId="0" xfId="3" applyFont="1" applyFill="1" applyBorder="1" applyAlignment="1">
      <alignment vertical="center"/>
    </xf>
    <xf numFmtId="3" fontId="6" fillId="2" borderId="0" xfId="3" applyNumberFormat="1" applyFont="1" applyFill="1" applyBorder="1" applyAlignment="1">
      <alignment vertical="center"/>
    </xf>
    <xf numFmtId="165" fontId="60" fillId="2" borderId="0" xfId="1" applyNumberFormat="1" applyFont="1" applyFill="1" applyBorder="1" applyAlignment="1">
      <alignment horizontal="right"/>
    </xf>
    <xf numFmtId="167" fontId="22" fillId="2" borderId="0" xfId="0" applyNumberFormat="1" applyFont="1" applyFill="1" applyBorder="1" applyAlignment="1">
      <alignment horizontal="right" vertical="center" wrapText="1"/>
    </xf>
    <xf numFmtId="0" fontId="17" fillId="14" borderId="85" xfId="0" applyFont="1" applyFill="1" applyBorder="1" applyAlignment="1">
      <alignment vertical="center" wrapText="1"/>
    </xf>
    <xf numFmtId="0" fontId="17" fillId="3" borderId="85" xfId="3" applyFont="1" applyFill="1" applyBorder="1" applyAlignment="1">
      <alignment horizontal="left" vertical="center" wrapText="1"/>
    </xf>
    <xf numFmtId="10" fontId="54" fillId="0" borderId="85" xfId="0" applyNumberFormat="1" applyFont="1" applyBorder="1" applyAlignment="1">
      <alignment horizontal="right" vertical="center" wrapText="1"/>
    </xf>
    <xf numFmtId="9" fontId="18" fillId="0" borderId="85" xfId="3" applyNumberFormat="1" applyFont="1" applyFill="1" applyBorder="1" applyAlignment="1">
      <alignment horizontal="right" vertical="center" wrapText="1"/>
    </xf>
    <xf numFmtId="9" fontId="18" fillId="2" borderId="85" xfId="3" applyNumberFormat="1" applyFont="1" applyFill="1" applyBorder="1" applyAlignment="1">
      <alignment horizontal="right" vertical="center" wrapText="1"/>
    </xf>
    <xf numFmtId="2" fontId="18" fillId="2" borderId="0" xfId="3" applyNumberFormat="1" applyFont="1" applyFill="1" applyBorder="1" applyAlignment="1">
      <alignment horizontal="left" vertical="center" wrapText="1"/>
    </xf>
    <xf numFmtId="10" fontId="54" fillId="0" borderId="0" xfId="0" applyNumberFormat="1" applyFont="1" applyBorder="1" applyAlignment="1">
      <alignment horizontal="right" vertical="center" wrapText="1"/>
    </xf>
    <xf numFmtId="9" fontId="18" fillId="0" borderId="0" xfId="3" applyNumberFormat="1" applyFont="1" applyFill="1" applyBorder="1" applyAlignment="1">
      <alignment horizontal="right" vertical="center" wrapText="1"/>
    </xf>
    <xf numFmtId="9" fontId="18" fillId="2" borderId="0" xfId="3" applyNumberFormat="1" applyFont="1" applyFill="1" applyBorder="1" applyAlignment="1">
      <alignment horizontal="right" vertical="center" wrapText="1"/>
    </xf>
    <xf numFmtId="2" fontId="18" fillId="2" borderId="35" xfId="3" applyNumberFormat="1" applyFont="1" applyFill="1" applyBorder="1" applyAlignment="1">
      <alignment horizontal="left" vertical="center" wrapText="1"/>
    </xf>
    <xf numFmtId="2" fontId="18" fillId="0" borderId="35" xfId="3" applyNumberFormat="1" applyFont="1" applyFill="1" applyBorder="1" applyAlignment="1">
      <alignment horizontal="left" vertical="center" wrapText="1"/>
    </xf>
    <xf numFmtId="2" fontId="18" fillId="0" borderId="36" xfId="3" applyNumberFormat="1" applyFont="1" applyFill="1" applyBorder="1" applyAlignment="1">
      <alignment horizontal="left" vertical="center" wrapText="1"/>
    </xf>
    <xf numFmtId="2" fontId="18" fillId="2" borderId="36" xfId="3" applyNumberFormat="1" applyFont="1" applyFill="1" applyBorder="1" applyAlignment="1">
      <alignment vertical="center" wrapText="1"/>
    </xf>
    <xf numFmtId="3" fontId="54" fillId="0" borderId="35" xfId="0" applyNumberFormat="1" applyFont="1" applyFill="1" applyBorder="1" applyAlignment="1">
      <alignment horizontal="right" vertical="center" wrapText="1"/>
    </xf>
    <xf numFmtId="3" fontId="54" fillId="0" borderId="35" xfId="0" applyNumberFormat="1" applyFont="1" applyFill="1" applyBorder="1" applyAlignment="1">
      <alignment vertical="center" wrapText="1"/>
    </xf>
    <xf numFmtId="0" fontId="20" fillId="0" borderId="35" xfId="3" applyFont="1" applyFill="1" applyBorder="1" applyAlignment="1">
      <alignment vertical="center" wrapText="1"/>
    </xf>
    <xf numFmtId="0" fontId="18" fillId="0" borderId="35" xfId="3" applyFont="1" applyFill="1" applyBorder="1" applyAlignment="1">
      <alignment horizontal="right" vertical="center" wrapText="1"/>
    </xf>
    <xf numFmtId="9" fontId="54" fillId="0" borderId="85" xfId="0" applyNumberFormat="1" applyFont="1" applyFill="1" applyBorder="1" applyAlignment="1">
      <alignment horizontal="right" vertical="center" wrapText="1"/>
    </xf>
    <xf numFmtId="0" fontId="18" fillId="0" borderId="36" xfId="3" applyFont="1" applyFill="1" applyBorder="1" applyAlignment="1">
      <alignment horizontal="right" vertical="center" wrapText="1"/>
    </xf>
    <xf numFmtId="167" fontId="54" fillId="0" borderId="35" xfId="0" applyNumberFormat="1" applyFont="1" applyFill="1" applyBorder="1" applyAlignment="1">
      <alignment vertical="center" wrapText="1"/>
    </xf>
    <xf numFmtId="167" fontId="20" fillId="0" borderId="36" xfId="3" applyNumberFormat="1" applyFont="1" applyFill="1" applyBorder="1" applyAlignment="1">
      <alignment vertical="center" wrapText="1"/>
    </xf>
    <xf numFmtId="0" fontId="24" fillId="0" borderId="35" xfId="0" applyFont="1" applyFill="1" applyBorder="1"/>
    <xf numFmtId="0" fontId="24" fillId="0" borderId="36" xfId="0" applyFont="1" applyFill="1" applyBorder="1" applyAlignment="1">
      <alignment horizontal="right"/>
    </xf>
    <xf numFmtId="3" fontId="18" fillId="0" borderId="36" xfId="3" applyNumberFormat="1" applyFont="1" applyFill="1" applyBorder="1" applyAlignment="1">
      <alignment vertical="center" wrapText="1"/>
    </xf>
    <xf numFmtId="165" fontId="22" fillId="0" borderId="36" xfId="1" applyNumberFormat="1" applyFont="1" applyFill="1" applyBorder="1" applyAlignment="1">
      <alignment horizontal="right" vertical="center" wrapText="1"/>
    </xf>
    <xf numFmtId="165" fontId="54" fillId="0" borderId="36" xfId="1" applyNumberFormat="1" applyFont="1" applyFill="1" applyBorder="1" applyAlignment="1">
      <alignment horizontal="right" vertical="center" wrapText="1"/>
    </xf>
    <xf numFmtId="0" fontId="55" fillId="0" borderId="34" xfId="0" applyFont="1" applyFill="1" applyBorder="1" applyAlignment="1">
      <alignment vertical="center" wrapText="1"/>
    </xf>
    <xf numFmtId="0" fontId="54" fillId="0" borderId="36" xfId="0" applyFont="1" applyFill="1" applyBorder="1" applyAlignment="1">
      <alignment horizontal="right" vertical="center" wrapText="1"/>
    </xf>
    <xf numFmtId="4" fontId="17" fillId="0" borderId="48" xfId="3" applyNumberFormat="1" applyFont="1" applyFill="1" applyBorder="1" applyAlignment="1">
      <alignment vertical="center" wrapText="1"/>
    </xf>
    <xf numFmtId="4" fontId="17" fillId="0" borderId="35" xfId="3" applyNumberFormat="1" applyFont="1" applyFill="1" applyBorder="1" applyAlignment="1">
      <alignment horizontal="right" vertical="center" wrapText="1"/>
    </xf>
    <xf numFmtId="4" fontId="17" fillId="0" borderId="34" xfId="3" applyNumberFormat="1" applyFont="1" applyFill="1" applyBorder="1" applyAlignment="1">
      <alignment horizontal="right" vertical="center" wrapText="1"/>
    </xf>
    <xf numFmtId="4" fontId="41" fillId="0" borderId="35" xfId="3" applyNumberFormat="1" applyFont="1" applyFill="1" applyBorder="1" applyAlignment="1">
      <alignment horizontal="right" vertical="center" wrapText="1"/>
    </xf>
    <xf numFmtId="0" fontId="41" fillId="0" borderId="36" xfId="3" applyFont="1" applyFill="1" applyBorder="1" applyAlignment="1">
      <alignment horizontal="right" vertical="center" wrapText="1"/>
    </xf>
    <xf numFmtId="4" fontId="20" fillId="0" borderId="34" xfId="3" applyNumberFormat="1" applyFont="1" applyFill="1" applyBorder="1" applyAlignment="1">
      <alignment vertical="center" wrapText="1"/>
    </xf>
    <xf numFmtId="4" fontId="18" fillId="0" borderId="35" xfId="3" applyNumberFormat="1" applyFont="1" applyFill="1" applyBorder="1" applyAlignment="1">
      <alignment vertical="center" wrapText="1"/>
    </xf>
    <xf numFmtId="4" fontId="22" fillId="0" borderId="36" xfId="0" applyNumberFormat="1" applyFont="1" applyFill="1" applyBorder="1" applyAlignment="1">
      <alignment horizontal="right" vertical="center" wrapText="1"/>
    </xf>
    <xf numFmtId="2" fontId="20" fillId="0" borderId="34" xfId="3" applyNumberFormat="1" applyFont="1" applyFill="1" applyBorder="1" applyAlignment="1">
      <alignment vertical="center" wrapText="1"/>
    </xf>
    <xf numFmtId="0" fontId="39" fillId="12" borderId="0" xfId="0" applyFont="1" applyFill="1"/>
    <xf numFmtId="0" fontId="4" fillId="0" borderId="36" xfId="2" applyFill="1" applyBorder="1" applyAlignment="1">
      <alignment vertical="center" wrapText="1"/>
    </xf>
    <xf numFmtId="0" fontId="61" fillId="0" borderId="0" xfId="0" applyFont="1" applyFill="1" applyAlignment="1">
      <alignment horizontal="left" vertical="top"/>
    </xf>
    <xf numFmtId="0" fontId="4" fillId="12" borderId="0" xfId="2" applyFill="1" applyAlignment="1">
      <alignment vertical="center"/>
    </xf>
    <xf numFmtId="0" fontId="4" fillId="0" borderId="34" xfId="2" applyFill="1" applyBorder="1" applyAlignment="1">
      <alignment vertical="center" wrapText="1"/>
    </xf>
    <xf numFmtId="0" fontId="22" fillId="0" borderId="25" xfId="0" applyFont="1" applyFill="1" applyBorder="1"/>
    <xf numFmtId="10" fontId="22" fillId="2" borderId="35" xfId="0" applyNumberFormat="1" applyFont="1" applyFill="1" applyBorder="1"/>
    <xf numFmtId="0" fontId="22" fillId="2" borderId="35" xfId="0" applyFont="1" applyFill="1" applyBorder="1"/>
    <xf numFmtId="0" fontId="22" fillId="2" borderId="36" xfId="0" applyFont="1" applyFill="1" applyBorder="1"/>
    <xf numFmtId="0" fontId="44" fillId="0" borderId="0" xfId="2" applyFont="1" applyFill="1" applyAlignment="1">
      <alignment vertical="top"/>
    </xf>
    <xf numFmtId="0" fontId="62" fillId="12" borderId="0" xfId="0" applyFont="1" applyFill="1"/>
    <xf numFmtId="0" fontId="44" fillId="0" borderId="0" xfId="2" applyFont="1" applyFill="1" applyAlignment="1">
      <alignment vertical="center"/>
    </xf>
    <xf numFmtId="0" fontId="46" fillId="0" borderId="0" xfId="0" applyFont="1" applyFill="1" applyAlignment="1">
      <alignment vertical="center"/>
    </xf>
    <xf numFmtId="0" fontId="4" fillId="0" borderId="0" xfId="2" applyFill="1"/>
    <xf numFmtId="0" fontId="44" fillId="0" borderId="0" xfId="2" applyFont="1" applyFill="1"/>
    <xf numFmtId="14" fontId="0" fillId="0" borderId="0" xfId="0" applyNumberFormat="1" applyFill="1"/>
    <xf numFmtId="0" fontId="20" fillId="0" borderId="24" xfId="3" applyFont="1" applyFill="1" applyBorder="1" applyAlignment="1">
      <alignment horizontal="right" vertical="center" wrapText="1"/>
    </xf>
    <xf numFmtId="0" fontId="4" fillId="6" borderId="23" xfId="2" applyFill="1" applyBorder="1" applyAlignment="1">
      <alignment horizontal="right" vertical="center" wrapText="1"/>
    </xf>
    <xf numFmtId="0" fontId="17" fillId="6" borderId="34" xfId="3" applyFont="1" applyFill="1" applyBorder="1" applyAlignment="1">
      <alignment horizontal="right" vertical="center" wrapText="1"/>
    </xf>
    <xf numFmtId="3" fontId="63" fillId="0" borderId="35" xfId="0" applyNumberFormat="1" applyFont="1" applyBorder="1"/>
    <xf numFmtId="0" fontId="17" fillId="6" borderId="34" xfId="3" applyFont="1" applyFill="1" applyBorder="1" applyAlignment="1">
      <alignment horizontal="left" vertical="center" wrapText="1"/>
    </xf>
    <xf numFmtId="3" fontId="57" fillId="0" borderId="35" xfId="0" applyNumberFormat="1" applyFont="1" applyBorder="1"/>
    <xf numFmtId="3" fontId="57" fillId="0" borderId="36" xfId="0" applyNumberFormat="1" applyFont="1" applyBorder="1"/>
    <xf numFmtId="0" fontId="18" fillId="2" borderId="39" xfId="3" applyFont="1" applyFill="1" applyBorder="1" applyAlignment="1">
      <alignment vertical="center" wrapText="1"/>
    </xf>
    <xf numFmtId="3" fontId="57" fillId="0" borderId="39" xfId="0" applyNumberFormat="1" applyFont="1" applyBorder="1"/>
    <xf numFmtId="3" fontId="20" fillId="0" borderId="32" xfId="3" applyNumberFormat="1" applyFont="1" applyFill="1" applyBorder="1" applyAlignment="1">
      <alignment horizontal="right" vertical="center" wrapText="1"/>
    </xf>
    <xf numFmtId="3" fontId="20" fillId="0" borderId="5" xfId="3" applyNumberFormat="1" applyFont="1" applyFill="1" applyBorder="1" applyAlignment="1">
      <alignment horizontal="right" vertical="center" wrapText="1"/>
    </xf>
    <xf numFmtId="9" fontId="18" fillId="0" borderId="16" xfId="8" applyFont="1" applyFill="1" applyBorder="1" applyAlignment="1">
      <alignment vertical="center" wrapText="1"/>
    </xf>
    <xf numFmtId="0" fontId="41" fillId="0" borderId="35" xfId="3" applyFont="1" applyFill="1" applyBorder="1" applyAlignment="1">
      <alignment horizontal="left" vertical="center" wrapText="1"/>
    </xf>
    <xf numFmtId="165" fontId="1" fillId="8" borderId="35" xfId="1" applyNumberFormat="1" applyFont="1" applyFill="1" applyBorder="1"/>
    <xf numFmtId="0" fontId="41" fillId="0" borderId="36" xfId="3" applyFont="1" applyFill="1" applyBorder="1" applyAlignment="1">
      <alignment horizontal="left" vertical="center" wrapText="1"/>
    </xf>
    <xf numFmtId="173" fontId="1" fillId="8" borderId="36" xfId="0" applyNumberFormat="1" applyFont="1" applyFill="1" applyBorder="1"/>
    <xf numFmtId="3" fontId="20" fillId="0" borderId="0" xfId="3" applyNumberFormat="1" applyFont="1" applyBorder="1" applyAlignment="1">
      <alignment vertical="center" wrapText="1"/>
    </xf>
    <xf numFmtId="0" fontId="17" fillId="16" borderId="47" xfId="3" applyFont="1" applyFill="1" applyBorder="1" applyAlignment="1">
      <alignment horizontal="left" vertical="center" wrapText="1"/>
    </xf>
    <xf numFmtId="0" fontId="17" fillId="16" borderId="27" xfId="3" applyFont="1" applyFill="1" applyBorder="1" applyAlignment="1">
      <alignment horizontal="left" vertical="center" wrapText="1"/>
    </xf>
    <xf numFmtId="0" fontId="17" fillId="16" borderId="28" xfId="3" applyFont="1" applyFill="1" applyBorder="1" applyAlignment="1">
      <alignment horizontal="left" vertical="center" wrapText="1"/>
    </xf>
    <xf numFmtId="165" fontId="22" fillId="0" borderId="32" xfId="1" applyNumberFormat="1" applyFont="1" applyFill="1" applyBorder="1"/>
    <xf numFmtId="165" fontId="22" fillId="0" borderId="33" xfId="1" applyNumberFormat="1" applyFont="1" applyFill="1" applyBorder="1"/>
    <xf numFmtId="164" fontId="20" fillId="0" borderId="5" xfId="1" applyFont="1" applyFill="1" applyBorder="1" applyAlignment="1">
      <alignment horizontal="right" vertical="center" wrapText="1"/>
    </xf>
    <xf numFmtId="0" fontId="55" fillId="0" borderId="43" xfId="0" applyFont="1" applyFill="1" applyBorder="1" applyAlignment="1">
      <alignment horizontal="right" vertical="center" wrapText="1"/>
    </xf>
    <xf numFmtId="0" fontId="54" fillId="0" borderId="43" xfId="0" applyFont="1" applyFill="1" applyBorder="1" applyAlignment="1">
      <alignment horizontal="right" vertical="center" wrapText="1"/>
    </xf>
    <xf numFmtId="0" fontId="54" fillId="0" borderId="86" xfId="0" applyFont="1" applyFill="1" applyBorder="1" applyAlignment="1">
      <alignment horizontal="right" vertical="center" wrapText="1"/>
    </xf>
    <xf numFmtId="0" fontId="54" fillId="0" borderId="87" xfId="0" applyFont="1" applyFill="1" applyBorder="1" applyAlignment="1">
      <alignment horizontal="right" vertical="center" wrapText="1"/>
    </xf>
    <xf numFmtId="0" fontId="54" fillId="0" borderId="44" xfId="0" applyFont="1" applyFill="1" applyBorder="1" applyAlignment="1">
      <alignment horizontal="right" vertical="center" wrapText="1"/>
    </xf>
    <xf numFmtId="0" fontId="55" fillId="0" borderId="88" xfId="0" applyFont="1" applyFill="1" applyBorder="1" applyAlignment="1">
      <alignment horizontal="right" vertical="center" wrapText="1"/>
    </xf>
    <xf numFmtId="0" fontId="54" fillId="0" borderId="88" xfId="0" applyFont="1" applyFill="1" applyBorder="1" applyAlignment="1">
      <alignment horizontal="right" vertical="center" wrapText="1"/>
    </xf>
    <xf numFmtId="0" fontId="54" fillId="0" borderId="89" xfId="0" applyFont="1" applyFill="1" applyBorder="1" applyAlignment="1">
      <alignment horizontal="right" vertical="center" wrapText="1"/>
    </xf>
    <xf numFmtId="0" fontId="54" fillId="0" borderId="90" xfId="0" applyFont="1" applyFill="1" applyBorder="1" applyAlignment="1">
      <alignment horizontal="right" vertical="center" wrapText="1"/>
    </xf>
    <xf numFmtId="0" fontId="0" fillId="0" borderId="36" xfId="0" applyFont="1" applyFill="1" applyBorder="1" applyAlignment="1">
      <alignment horizontal="right" wrapText="1"/>
    </xf>
    <xf numFmtId="0" fontId="0" fillId="0" borderId="25" xfId="0" applyFont="1" applyFill="1" applyBorder="1" applyAlignment="1">
      <alignment horizontal="right" wrapText="1"/>
    </xf>
    <xf numFmtId="0" fontId="0" fillId="0" borderId="36" xfId="0" applyFont="1" applyFill="1" applyBorder="1" applyAlignment="1">
      <alignment horizontal="right"/>
    </xf>
    <xf numFmtId="0" fontId="0" fillId="0" borderId="36" xfId="0" applyFont="1" applyBorder="1" applyAlignment="1">
      <alignment horizontal="right"/>
    </xf>
    <xf numFmtId="2" fontId="16" fillId="0" borderId="35" xfId="0" applyNumberFormat="1" applyFont="1" applyFill="1" applyBorder="1" applyAlignment="1">
      <alignment horizontal="right"/>
    </xf>
    <xf numFmtId="4" fontId="20" fillId="0" borderId="35" xfId="3" applyNumberFormat="1" applyFont="1" applyFill="1" applyBorder="1" applyAlignment="1">
      <alignment horizontal="right" vertical="center" wrapText="1"/>
    </xf>
    <xf numFmtId="4" fontId="18" fillId="0" borderId="35" xfId="3" applyNumberFormat="1" applyFont="1" applyFill="1" applyBorder="1" applyAlignment="1">
      <alignment horizontal="right" vertical="center" wrapText="1"/>
    </xf>
    <xf numFmtId="2" fontId="16" fillId="0" borderId="35" xfId="0" applyNumberFormat="1" applyFont="1" applyFill="1" applyBorder="1"/>
    <xf numFmtId="2" fontId="22" fillId="0" borderId="35" xfId="0" applyNumberFormat="1" applyFont="1" applyFill="1" applyBorder="1"/>
    <xf numFmtId="2" fontId="22" fillId="0" borderId="36" xfId="0" applyNumberFormat="1" applyFont="1" applyFill="1" applyBorder="1"/>
    <xf numFmtId="166" fontId="18" fillId="0" borderId="0" xfId="3" applyNumberFormat="1" applyFont="1" applyFill="1" applyBorder="1" applyAlignment="1">
      <alignment vertical="center" wrapText="1"/>
    </xf>
    <xf numFmtId="166" fontId="22" fillId="0" borderId="0" xfId="0" applyNumberFormat="1" applyFont="1" applyFill="1" applyBorder="1" applyAlignment="1">
      <alignment horizontal="right" vertical="center" wrapText="1"/>
    </xf>
    <xf numFmtId="0" fontId="66" fillId="17" borderId="0" xfId="0" applyFont="1" applyFill="1" applyBorder="1" applyAlignment="1"/>
    <xf numFmtId="0" fontId="58" fillId="17" borderId="0" xfId="0" applyFont="1" applyFill="1" applyBorder="1" applyAlignment="1"/>
    <xf numFmtId="0" fontId="54" fillId="0" borderId="0" xfId="0" applyFont="1" applyFill="1" applyBorder="1" applyAlignment="1"/>
    <xf numFmtId="0" fontId="67" fillId="0" borderId="0" xfId="0" applyFont="1" applyFill="1" applyBorder="1" applyAlignment="1"/>
    <xf numFmtId="0" fontId="39" fillId="0" borderId="0" xfId="0" applyFont="1" applyFill="1"/>
    <xf numFmtId="0" fontId="20" fillId="0" borderId="0" xfId="3" applyFont="1" applyFill="1" applyAlignment="1">
      <alignment vertical="center"/>
    </xf>
    <xf numFmtId="0" fontId="27" fillId="0" borderId="0" xfId="3" applyFont="1" applyFill="1"/>
    <xf numFmtId="0" fontId="19" fillId="0" borderId="0" xfId="0" applyFont="1" applyFill="1"/>
    <xf numFmtId="173" fontId="20" fillId="0" borderId="6" xfId="3" applyNumberFormat="1" applyFont="1" applyBorder="1" applyAlignment="1">
      <alignment vertical="center" wrapText="1"/>
    </xf>
    <xf numFmtId="0" fontId="18" fillId="0" borderId="24" xfId="3" applyFont="1" applyFill="1" applyBorder="1" applyAlignment="1">
      <alignment vertical="center" wrapText="1"/>
    </xf>
    <xf numFmtId="165" fontId="18" fillId="0" borderId="35" xfId="1" applyNumberFormat="1" applyFont="1" applyFill="1" applyBorder="1" applyAlignment="1">
      <alignment vertical="center" wrapText="1"/>
    </xf>
    <xf numFmtId="165" fontId="18" fillId="0" borderId="36" xfId="1" applyNumberFormat="1" applyFont="1" applyFill="1" applyBorder="1" applyAlignment="1">
      <alignment vertical="center" wrapText="1"/>
    </xf>
    <xf numFmtId="164" fontId="20" fillId="0" borderId="4" xfId="1" applyFont="1" applyFill="1" applyBorder="1" applyAlignment="1">
      <alignment horizontal="right" vertical="center" wrapText="1"/>
    </xf>
    <xf numFmtId="1" fontId="18" fillId="0" borderId="6" xfId="3" applyNumberFormat="1" applyFont="1" applyFill="1" applyBorder="1" applyAlignment="1">
      <alignment horizontal="right" vertical="center" wrapText="1"/>
    </xf>
    <xf numFmtId="0" fontId="18" fillId="0" borderId="35" xfId="3" applyFont="1" applyFill="1" applyBorder="1"/>
    <xf numFmtId="0" fontId="20" fillId="2" borderId="35" xfId="3" applyFont="1" applyFill="1" applyBorder="1" applyAlignment="1">
      <alignment vertical="center"/>
    </xf>
    <xf numFmtId="3" fontId="20" fillId="0" borderId="35" xfId="3" applyNumberFormat="1" applyFont="1" applyFill="1" applyBorder="1" applyAlignment="1">
      <alignment vertical="center"/>
    </xf>
    <xf numFmtId="0" fontId="18" fillId="2" borderId="35" xfId="3" applyFont="1" applyFill="1" applyBorder="1" applyAlignment="1">
      <alignment vertical="center"/>
    </xf>
    <xf numFmtId="3" fontId="18" fillId="0" borderId="35" xfId="3" applyNumberFormat="1" applyFont="1" applyFill="1" applyBorder="1" applyAlignment="1">
      <alignment vertical="center"/>
    </xf>
    <xf numFmtId="0" fontId="18" fillId="2" borderId="36" xfId="3" applyFont="1" applyFill="1" applyBorder="1" applyAlignment="1">
      <alignment vertical="center"/>
    </xf>
    <xf numFmtId="3" fontId="20" fillId="2" borderId="36" xfId="3" applyNumberFormat="1" applyFont="1" applyFill="1" applyBorder="1" applyAlignment="1">
      <alignment vertical="center"/>
    </xf>
    <xf numFmtId="3" fontId="20" fillId="2" borderId="35" xfId="3" applyNumberFormat="1" applyFont="1" applyFill="1" applyBorder="1" applyAlignment="1">
      <alignment vertical="center"/>
    </xf>
    <xf numFmtId="165" fontId="20" fillId="2" borderId="35" xfId="1" applyNumberFormat="1" applyFont="1" applyFill="1" applyBorder="1" applyAlignment="1">
      <alignment horizontal="right"/>
    </xf>
    <xf numFmtId="3" fontId="18" fillId="2" borderId="35" xfId="3" applyNumberFormat="1" applyFont="1" applyFill="1" applyBorder="1" applyAlignment="1">
      <alignment vertical="center"/>
    </xf>
    <xf numFmtId="165" fontId="18" fillId="2" borderId="35" xfId="1" applyNumberFormat="1" applyFont="1" applyFill="1" applyBorder="1" applyAlignment="1">
      <alignment horizontal="right"/>
    </xf>
    <xf numFmtId="165" fontId="20" fillId="2" borderId="61" xfId="1" applyNumberFormat="1" applyFont="1" applyFill="1" applyBorder="1" applyAlignment="1">
      <alignment horizontal="right"/>
    </xf>
    <xf numFmtId="0" fontId="22" fillId="0" borderId="24" xfId="0" applyFont="1" applyFill="1" applyBorder="1"/>
    <xf numFmtId="0" fontId="18" fillId="2" borderId="35" xfId="3" applyFont="1" applyFill="1" applyBorder="1"/>
    <xf numFmtId="165" fontId="18" fillId="0" borderId="35" xfId="1" applyNumberFormat="1" applyFont="1" applyFill="1" applyBorder="1"/>
    <xf numFmtId="165" fontId="18" fillId="0" borderId="36" xfId="1" applyNumberFormat="1" applyFont="1" applyFill="1" applyBorder="1"/>
    <xf numFmtId="3" fontId="54" fillId="0" borderId="36" xfId="0" applyNumberFormat="1" applyFont="1" applyFill="1" applyBorder="1" applyAlignment="1">
      <alignment horizontal="right" vertical="center" wrapText="1"/>
    </xf>
    <xf numFmtId="165" fontId="20" fillId="0" borderId="35" xfId="1" applyNumberFormat="1" applyFont="1" applyFill="1" applyBorder="1"/>
    <xf numFmtId="165" fontId="20" fillId="0" borderId="36" xfId="1" applyNumberFormat="1" applyFont="1" applyFill="1" applyBorder="1"/>
    <xf numFmtId="3" fontId="17" fillId="0" borderId="34" xfId="0" applyNumberFormat="1" applyFont="1" applyFill="1" applyBorder="1" applyAlignment="1">
      <alignment horizontal="right" vertical="center" wrapText="1"/>
    </xf>
    <xf numFmtId="3" fontId="41" fillId="0" borderId="35" xfId="0" applyNumberFormat="1" applyFont="1" applyFill="1" applyBorder="1" applyAlignment="1">
      <alignment horizontal="right" vertical="center" wrapText="1"/>
    </xf>
    <xf numFmtId="0" fontId="41" fillId="0" borderId="35" xfId="0" applyFont="1" applyFill="1" applyBorder="1" applyAlignment="1">
      <alignment horizontal="right" vertical="center" wrapText="1"/>
    </xf>
    <xf numFmtId="3" fontId="20" fillId="0" borderId="35" xfId="3" applyNumberFormat="1" applyFont="1" applyFill="1" applyBorder="1" applyAlignment="1">
      <alignment horizontal="right" vertical="center"/>
    </xf>
    <xf numFmtId="3" fontId="18" fillId="0" borderId="35" xfId="3" applyNumberFormat="1" applyFont="1" applyFill="1" applyBorder="1" applyAlignment="1">
      <alignment horizontal="right" vertical="center"/>
    </xf>
    <xf numFmtId="0" fontId="18" fillId="0" borderId="35" xfId="3" applyFont="1" applyFill="1" applyBorder="1" applyAlignment="1">
      <alignment horizontal="right"/>
    </xf>
    <xf numFmtId="3" fontId="20" fillId="0" borderId="36" xfId="3" applyNumberFormat="1" applyFont="1" applyFill="1" applyBorder="1" applyAlignment="1">
      <alignment horizontal="right" vertical="center"/>
    </xf>
    <xf numFmtId="0" fontId="4" fillId="11" borderId="0" xfId="2" applyFill="1" applyAlignment="1">
      <alignment vertical="center"/>
    </xf>
    <xf numFmtId="0" fontId="4" fillId="16" borderId="34" xfId="2" applyFill="1" applyBorder="1" applyAlignment="1">
      <alignment horizontal="left" vertical="center" wrapText="1"/>
    </xf>
    <xf numFmtId="0" fontId="4" fillId="16" borderId="4" xfId="2" applyFill="1" applyBorder="1" applyAlignment="1">
      <alignment horizontal="left" vertical="center" wrapText="1"/>
    </xf>
    <xf numFmtId="0" fontId="4" fillId="16" borderId="6" xfId="2" applyFill="1" applyBorder="1" applyAlignment="1">
      <alignment horizontal="left" vertical="center" wrapText="1"/>
    </xf>
    <xf numFmtId="0" fontId="4" fillId="16" borderId="47" xfId="2" applyFill="1" applyBorder="1" applyAlignment="1">
      <alignment horizontal="left" vertical="center" wrapText="1"/>
    </xf>
    <xf numFmtId="10" fontId="55" fillId="0" borderId="35" xfId="8" applyNumberFormat="1" applyFont="1" applyFill="1" applyBorder="1" applyAlignment="1">
      <alignment horizontal="right" vertical="center"/>
    </xf>
    <xf numFmtId="10" fontId="55" fillId="0" borderId="35" xfId="8" applyNumberFormat="1" applyFont="1" applyFill="1" applyBorder="1"/>
    <xf numFmtId="10" fontId="16" fillId="0" borderId="43" xfId="8" applyNumberFormat="1" applyFont="1" applyFill="1" applyBorder="1" applyAlignment="1">
      <alignment horizontal="right" vertical="center"/>
    </xf>
    <xf numFmtId="10" fontId="16" fillId="0" borderId="35" xfId="8" applyNumberFormat="1" applyFont="1" applyFill="1" applyBorder="1" applyAlignment="1">
      <alignment horizontal="right" vertical="center"/>
    </xf>
    <xf numFmtId="10" fontId="16" fillId="0" borderId="35" xfId="8" applyNumberFormat="1" applyFont="1" applyFill="1" applyBorder="1"/>
    <xf numFmtId="10" fontId="20" fillId="0" borderId="35" xfId="8" applyNumberFormat="1" applyFont="1" applyFill="1" applyBorder="1" applyAlignment="1">
      <alignment horizontal="right" vertical="center" wrapText="1"/>
    </xf>
    <xf numFmtId="10" fontId="54" fillId="0" borderId="35" xfId="8" applyNumberFormat="1" applyFont="1" applyFill="1" applyBorder="1" applyAlignment="1">
      <alignment horizontal="right"/>
    </xf>
    <xf numFmtId="10" fontId="54" fillId="0" borderId="35" xfId="8" applyNumberFormat="1" applyFont="1" applyFill="1" applyBorder="1"/>
    <xf numFmtId="10" fontId="22" fillId="0" borderId="43" xfId="8" applyNumberFormat="1" applyFont="1" applyFill="1" applyBorder="1" applyAlignment="1">
      <alignment horizontal="right"/>
    </xf>
    <xf numFmtId="10" fontId="22" fillId="0" borderId="35" xfId="8" applyNumberFormat="1" applyFont="1" applyFill="1" applyBorder="1" applyAlignment="1">
      <alignment horizontal="right"/>
    </xf>
    <xf numFmtId="10" fontId="22" fillId="0" borderId="35" xfId="8" applyNumberFormat="1" applyFont="1" applyFill="1" applyBorder="1"/>
    <xf numFmtId="10" fontId="18" fillId="0" borderId="35" xfId="8" applyNumberFormat="1" applyFont="1" applyFill="1" applyBorder="1" applyAlignment="1">
      <alignment vertical="center" wrapText="1"/>
    </xf>
    <xf numFmtId="10" fontId="54" fillId="0" borderId="36" xfId="8" applyNumberFormat="1" applyFont="1" applyFill="1" applyBorder="1" applyAlignment="1">
      <alignment horizontal="right"/>
    </xf>
    <xf numFmtId="10" fontId="54" fillId="0" borderId="36" xfId="8" applyNumberFormat="1" applyFont="1" applyFill="1" applyBorder="1"/>
    <xf numFmtId="10" fontId="22" fillId="0" borderId="44" xfId="8" applyNumberFormat="1" applyFont="1" applyFill="1" applyBorder="1" applyAlignment="1">
      <alignment horizontal="right"/>
    </xf>
    <xf numFmtId="10" fontId="22" fillId="0" borderId="36" xfId="8" applyNumberFormat="1" applyFont="1" applyFill="1" applyBorder="1" applyAlignment="1">
      <alignment horizontal="right"/>
    </xf>
    <xf numFmtId="10" fontId="22" fillId="0" borderId="36" xfId="8" applyNumberFormat="1" applyFont="1" applyFill="1" applyBorder="1"/>
    <xf numFmtId="10" fontId="22" fillId="0" borderId="36" xfId="8" applyNumberFormat="1" applyFont="1" applyFill="1" applyBorder="1" applyAlignment="1">
      <alignment horizontal="right" vertical="center" wrapText="1"/>
    </xf>
    <xf numFmtId="4" fontId="20" fillId="0" borderId="0" xfId="3" applyNumberFormat="1" applyFont="1" applyBorder="1" applyAlignment="1">
      <alignment vertical="center" wrapText="1"/>
    </xf>
    <xf numFmtId="9" fontId="18" fillId="0" borderId="5" xfId="8" applyFont="1" applyFill="1" applyBorder="1" applyAlignment="1">
      <alignment horizontal="right" vertical="center" wrapText="1"/>
    </xf>
    <xf numFmtId="9" fontId="20" fillId="0" borderId="12" xfId="8" applyFont="1" applyBorder="1" applyAlignment="1">
      <alignment horizontal="right" vertical="center" wrapText="1"/>
    </xf>
    <xf numFmtId="9" fontId="20" fillId="0" borderId="12" xfId="8" applyFont="1" applyBorder="1" applyAlignment="1">
      <alignment horizontal="left" vertical="center" wrapText="1"/>
    </xf>
    <xf numFmtId="9" fontId="20" fillId="0" borderId="6" xfId="8" applyFont="1" applyBorder="1" applyAlignment="1">
      <alignment horizontal="right" vertical="center" wrapText="1"/>
    </xf>
    <xf numFmtId="165" fontId="0" fillId="0" borderId="0" xfId="0" applyNumberFormat="1"/>
    <xf numFmtId="3" fontId="69" fillId="0" borderId="91" xfId="0" applyNumberFormat="1" applyFont="1" applyFill="1" applyBorder="1"/>
    <xf numFmtId="2" fontId="69" fillId="0" borderId="91" xfId="0" applyNumberFormat="1" applyFont="1" applyFill="1" applyBorder="1"/>
    <xf numFmtId="0" fontId="69" fillId="0" borderId="91" xfId="0" applyFont="1" applyFill="1" applyBorder="1"/>
    <xf numFmtId="0" fontId="4" fillId="0" borderId="4" xfId="2" applyBorder="1" applyAlignment="1">
      <alignment vertical="center" wrapText="1"/>
    </xf>
    <xf numFmtId="3" fontId="54" fillId="0" borderId="91" xfId="0" applyNumberFormat="1" applyFont="1" applyFill="1" applyBorder="1" applyAlignment="1">
      <alignment horizontal="right" vertical="center" wrapText="1"/>
    </xf>
    <xf numFmtId="0" fontId="54" fillId="0" borderId="91" xfId="0" applyFont="1" applyFill="1" applyBorder="1" applyAlignment="1">
      <alignment horizontal="right" vertical="center" wrapText="1"/>
    </xf>
    <xf numFmtId="3" fontId="54" fillId="0" borderId="92" xfId="0" applyNumberFormat="1" applyFont="1" applyFill="1" applyBorder="1" applyAlignment="1">
      <alignment horizontal="right" vertical="center" wrapText="1"/>
    </xf>
    <xf numFmtId="3" fontId="41" fillId="0" borderId="93" xfId="0" applyNumberFormat="1" applyFont="1" applyFill="1" applyBorder="1" applyAlignment="1">
      <alignment horizontal="right" vertical="center" wrapText="1"/>
    </xf>
    <xf numFmtId="0" fontId="41" fillId="0" borderId="91" xfId="0" applyFont="1" applyFill="1" applyBorder="1" applyAlignment="1">
      <alignment horizontal="right" vertical="center" wrapText="1"/>
    </xf>
    <xf numFmtId="3" fontId="55" fillId="0" borderId="94" xfId="0" applyNumberFormat="1" applyFont="1" applyFill="1" applyBorder="1" applyAlignment="1">
      <alignment vertical="center" wrapText="1"/>
    </xf>
    <xf numFmtId="14" fontId="0" fillId="2" borderId="0" xfId="0" applyNumberFormat="1" applyFill="1"/>
    <xf numFmtId="165" fontId="4" fillId="0" borderId="30" xfId="2" applyNumberFormat="1" applyFill="1" applyBorder="1"/>
    <xf numFmtId="0" fontId="4" fillId="0" borderId="24" xfId="2" applyBorder="1" applyAlignment="1">
      <alignment vertical="center" wrapText="1"/>
    </xf>
    <xf numFmtId="0" fontId="4" fillId="0" borderId="5" xfId="2" applyBorder="1" applyAlignment="1">
      <alignment vertical="center" wrapText="1"/>
    </xf>
    <xf numFmtId="169" fontId="39" fillId="0" borderId="6" xfId="0" applyNumberFormat="1" applyFont="1" applyBorder="1"/>
    <xf numFmtId="169" fontId="39" fillId="0" borderId="6" xfId="0" applyNumberFormat="1" applyFont="1" applyFill="1" applyBorder="1"/>
    <xf numFmtId="169" fontId="20" fillId="0" borderId="6" xfId="3" applyNumberFormat="1" applyFont="1" applyBorder="1" applyAlignment="1">
      <alignment vertical="center" wrapText="1"/>
    </xf>
    <xf numFmtId="170" fontId="18" fillId="0" borderId="11" xfId="3" applyNumberFormat="1" applyFont="1" applyFill="1" applyBorder="1" applyAlignment="1">
      <alignment horizontal="right" vertical="center" wrapText="1"/>
    </xf>
    <xf numFmtId="0" fontId="4" fillId="0" borderId="0" xfId="2" applyFill="1" applyAlignment="1">
      <alignment wrapText="1"/>
    </xf>
    <xf numFmtId="0" fontId="4" fillId="0" borderId="0" xfId="2" applyAlignment="1">
      <alignment wrapText="1"/>
    </xf>
    <xf numFmtId="165" fontId="70" fillId="0" borderId="35" xfId="2" applyNumberFormat="1" applyFont="1" applyFill="1" applyBorder="1" applyAlignment="1">
      <alignment horizontal="right"/>
    </xf>
    <xf numFmtId="0" fontId="4" fillId="3" borderId="34" xfId="2" applyFill="1" applyBorder="1" applyAlignment="1">
      <alignment vertical="center" wrapText="1"/>
    </xf>
    <xf numFmtId="0" fontId="4" fillId="3" borderId="34" xfId="2" applyFill="1" applyBorder="1" applyAlignment="1">
      <alignment horizontal="left" vertical="center" wrapText="1"/>
    </xf>
    <xf numFmtId="0" fontId="4" fillId="3" borderId="85" xfId="2" applyFill="1" applyBorder="1" applyAlignment="1">
      <alignment horizontal="left" vertical="center" wrapText="1"/>
    </xf>
    <xf numFmtId="165" fontId="18" fillId="0" borderId="0" xfId="1" applyNumberFormat="1" applyFont="1" applyFill="1" applyBorder="1" applyAlignment="1">
      <alignment vertical="center" wrapText="1"/>
    </xf>
    <xf numFmtId="165" fontId="18" fillId="2" borderId="0" xfId="1" applyNumberFormat="1" applyFont="1" applyFill="1" applyBorder="1" applyAlignment="1">
      <alignment vertical="center" wrapText="1"/>
    </xf>
    <xf numFmtId="0" fontId="18" fillId="0" borderId="25" xfId="3" applyFont="1" applyBorder="1" applyAlignment="1">
      <alignment vertical="center" wrapText="1"/>
    </xf>
    <xf numFmtId="0" fontId="18" fillId="0" borderId="0" xfId="3" applyFont="1" applyAlignment="1">
      <alignment vertical="center" wrapText="1"/>
    </xf>
    <xf numFmtId="0" fontId="17" fillId="16" borderId="13" xfId="3" applyFont="1" applyFill="1" applyBorder="1" applyAlignment="1">
      <alignment horizontal="left" vertical="center" wrapText="1"/>
    </xf>
    <xf numFmtId="0" fontId="17" fillId="16" borderId="8" xfId="3" applyFont="1" applyFill="1" applyBorder="1" applyAlignment="1">
      <alignment horizontal="left" vertical="center" wrapText="1"/>
    </xf>
    <xf numFmtId="0" fontId="17" fillId="16" borderId="4" xfId="3" applyFont="1" applyFill="1" applyBorder="1" applyAlignment="1">
      <alignment horizontal="left" vertical="center" wrapText="1"/>
    </xf>
    <xf numFmtId="0" fontId="17" fillId="16" borderId="6" xfId="3" applyFont="1" applyFill="1" applyBorder="1" applyAlignment="1">
      <alignment horizontal="left" vertical="center" wrapText="1"/>
    </xf>
    <xf numFmtId="0" fontId="17" fillId="16" borderId="4" xfId="3" applyFont="1" applyFill="1" applyBorder="1" applyAlignment="1">
      <alignment vertical="center" wrapText="1"/>
    </xf>
    <xf numFmtId="9" fontId="18" fillId="0" borderId="5" xfId="8" applyFont="1" applyFill="1" applyBorder="1" applyAlignment="1">
      <alignment horizontal="left" vertical="center" wrapText="1"/>
    </xf>
    <xf numFmtId="0" fontId="17" fillId="5" borderId="4" xfId="3" applyFont="1" applyFill="1" applyBorder="1" applyAlignment="1">
      <alignment vertical="center" wrapText="1"/>
    </xf>
    <xf numFmtId="0" fontId="17" fillId="3" borderId="46" xfId="3" applyFont="1" applyFill="1" applyBorder="1" applyAlignment="1">
      <alignment horizontal="center" vertical="center" wrapText="1"/>
    </xf>
    <xf numFmtId="0" fontId="17" fillId="3" borderId="42" xfId="3" applyFont="1" applyFill="1" applyBorder="1" applyAlignment="1">
      <alignment horizontal="center" vertical="center" wrapText="1"/>
    </xf>
    <xf numFmtId="0" fontId="17" fillId="3" borderId="34" xfId="3" applyFont="1" applyFill="1" applyBorder="1" applyAlignment="1">
      <alignment horizontal="left" vertical="center" wrapText="1"/>
    </xf>
    <xf numFmtId="0" fontId="17" fillId="14" borderId="46" xfId="0" applyFont="1" applyFill="1" applyBorder="1" applyAlignment="1">
      <alignment horizontal="center" vertical="center" wrapText="1"/>
    </xf>
    <xf numFmtId="0" fontId="17" fillId="3" borderId="85" xfId="3" applyFont="1" applyFill="1" applyBorder="1" applyAlignment="1">
      <alignment vertical="center" wrapText="1"/>
    </xf>
    <xf numFmtId="0" fontId="71" fillId="0" borderId="0" xfId="0" quotePrefix="1" applyFont="1"/>
    <xf numFmtId="172" fontId="20" fillId="0" borderId="25" xfId="3" applyNumberFormat="1" applyFont="1" applyBorder="1" applyAlignment="1">
      <alignment vertical="center" wrapText="1"/>
    </xf>
    <xf numFmtId="2" fontId="20" fillId="2" borderId="36" xfId="3" applyNumberFormat="1" applyFont="1" applyFill="1" applyBorder="1" applyAlignment="1">
      <alignment vertical="center" wrapText="1"/>
    </xf>
    <xf numFmtId="172" fontId="20" fillId="0" borderId="36" xfId="3" applyNumberFormat="1" applyFont="1" applyFill="1" applyBorder="1" applyAlignment="1">
      <alignment vertical="center" wrapText="1"/>
    </xf>
    <xf numFmtId="0" fontId="4" fillId="9" borderId="34" xfId="2" applyFill="1" applyBorder="1" applyAlignment="1">
      <alignment vertical="center" wrapText="1"/>
    </xf>
    <xf numFmtId="165" fontId="18" fillId="0" borderId="16" xfId="1" applyNumberFormat="1" applyFont="1" applyBorder="1" applyAlignment="1">
      <alignment vertical="center" wrapText="1"/>
    </xf>
    <xf numFmtId="0" fontId="20" fillId="0" borderId="15" xfId="3" applyFont="1" applyBorder="1" applyAlignment="1">
      <alignment vertical="center" wrapText="1"/>
    </xf>
    <xf numFmtId="165" fontId="20" fillId="0" borderId="15" xfId="1" applyNumberFormat="1" applyFont="1" applyBorder="1" applyAlignment="1">
      <alignment vertical="center" wrapText="1"/>
    </xf>
    <xf numFmtId="165" fontId="19" fillId="0" borderId="0" xfId="0" applyNumberFormat="1" applyFont="1"/>
    <xf numFmtId="0" fontId="53" fillId="0" borderId="95" xfId="3" applyFont="1" applyBorder="1" applyAlignment="1">
      <alignment vertical="center"/>
    </xf>
    <xf numFmtId="0" fontId="4" fillId="16" borderId="17" xfId="2" applyFill="1" applyBorder="1" applyAlignment="1">
      <alignment horizontal="left" vertical="center" wrapText="1"/>
    </xf>
    <xf numFmtId="171" fontId="19" fillId="0" borderId="0" xfId="0" applyNumberFormat="1" applyFont="1"/>
    <xf numFmtId="0" fontId="17" fillId="16" borderId="4" xfId="3" applyFont="1" applyFill="1" applyBorder="1" applyAlignment="1">
      <alignment vertical="center" wrapText="1"/>
    </xf>
    <xf numFmtId="0" fontId="17" fillId="16" borderId="6" xfId="3" applyFont="1" applyFill="1" applyBorder="1" applyAlignment="1">
      <alignment vertical="center" wrapText="1"/>
    </xf>
    <xf numFmtId="0" fontId="17" fillId="16" borderId="7" xfId="3" applyFont="1" applyFill="1" applyBorder="1" applyAlignment="1">
      <alignment horizontal="center" vertical="center" wrapText="1"/>
    </xf>
    <xf numFmtId="0" fontId="18" fillId="0" borderId="0" xfId="3" applyFont="1" applyAlignment="1">
      <alignment vertical="center" wrapText="1"/>
    </xf>
    <xf numFmtId="165" fontId="22" fillId="0" borderId="5" xfId="1" applyNumberFormat="1" applyFont="1" applyFill="1" applyBorder="1" applyAlignment="1">
      <alignment horizontal="left" wrapText="1"/>
    </xf>
    <xf numFmtId="0" fontId="18" fillId="0" borderId="12" xfId="3" applyFont="1" applyBorder="1" applyAlignment="1">
      <alignment horizontal="left" vertical="center" wrapText="1"/>
    </xf>
    <xf numFmtId="0" fontId="18" fillId="0" borderId="10" xfId="3" applyFont="1" applyBorder="1" applyAlignment="1">
      <alignment horizontal="left" vertical="center" wrapText="1"/>
    </xf>
    <xf numFmtId="0" fontId="21" fillId="0" borderId="0" xfId="3" applyFont="1" applyAlignment="1">
      <alignment horizontal="center" vertical="center" wrapText="1"/>
    </xf>
    <xf numFmtId="0" fontId="17" fillId="16" borderId="13" xfId="3" applyFont="1" applyFill="1" applyBorder="1" applyAlignment="1">
      <alignment horizontal="left" vertical="center" wrapText="1"/>
    </xf>
    <xf numFmtId="0" fontId="17" fillId="16" borderId="8" xfId="3" applyFont="1" applyFill="1" applyBorder="1" applyAlignment="1">
      <alignment horizontal="left" vertical="center" wrapText="1"/>
    </xf>
    <xf numFmtId="0" fontId="18" fillId="0" borderId="11" xfId="3" applyFont="1" applyBorder="1" applyAlignment="1">
      <alignment horizontal="left" vertical="center" wrapText="1"/>
    </xf>
    <xf numFmtId="0" fontId="18" fillId="0" borderId="9" xfId="3" applyFont="1" applyBorder="1" applyAlignment="1">
      <alignment horizontal="left" vertical="center" wrapText="1"/>
    </xf>
    <xf numFmtId="0" fontId="17" fillId="16" borderId="4" xfId="3" applyFont="1" applyFill="1" applyBorder="1" applyAlignment="1">
      <alignment horizontal="left" vertical="center" wrapText="1"/>
    </xf>
    <xf numFmtId="0" fontId="17" fillId="16" borderId="6" xfId="3" applyFont="1" applyFill="1" applyBorder="1" applyAlignment="1">
      <alignment horizontal="left" vertical="center" wrapText="1"/>
    </xf>
    <xf numFmtId="9" fontId="18" fillId="0" borderId="5" xfId="8" applyFont="1" applyFill="1" applyBorder="1" applyAlignment="1">
      <alignment horizontal="left" vertical="center" wrapText="1"/>
    </xf>
    <xf numFmtId="9" fontId="18" fillId="0" borderId="6" xfId="8" applyFont="1" applyFill="1" applyBorder="1" applyAlignment="1">
      <alignment horizontal="left" vertical="center" wrapText="1"/>
    </xf>
    <xf numFmtId="0" fontId="55" fillId="17" borderId="0" xfId="0" applyFont="1" applyFill="1" applyBorder="1" applyAlignment="1">
      <alignment horizontal="left"/>
    </xf>
    <xf numFmtId="0" fontId="0" fillId="0" borderId="0" xfId="0" applyAlignment="1">
      <alignment horizontal="left" wrapText="1"/>
    </xf>
    <xf numFmtId="0" fontId="4" fillId="16" borderId="7" xfId="2" applyFill="1" applyBorder="1" applyAlignment="1">
      <alignment horizontal="center" vertical="center" wrapText="1"/>
    </xf>
    <xf numFmtId="0" fontId="0" fillId="4" borderId="0" xfId="0" applyFill="1" applyAlignment="1">
      <alignment horizontal="left" wrapText="1"/>
    </xf>
    <xf numFmtId="0" fontId="17" fillId="5" borderId="4" xfId="3" applyFont="1" applyFill="1" applyBorder="1" applyAlignment="1">
      <alignment vertical="center" wrapText="1"/>
    </xf>
    <xf numFmtId="0" fontId="17" fillId="5" borderId="6" xfId="3" applyFont="1" applyFill="1" applyBorder="1" applyAlignment="1">
      <alignment vertical="center" wrapText="1"/>
    </xf>
    <xf numFmtId="0" fontId="17" fillId="5" borderId="5" xfId="3" applyFont="1" applyFill="1" applyBorder="1" applyAlignment="1">
      <alignment vertical="center" wrapText="1"/>
    </xf>
    <xf numFmtId="0" fontId="17" fillId="5" borderId="7" xfId="3" applyFont="1" applyFill="1" applyBorder="1" applyAlignment="1">
      <alignment horizontal="center" vertical="center" wrapText="1"/>
    </xf>
    <xf numFmtId="0" fontId="17" fillId="5" borderId="37" xfId="3" applyFont="1" applyFill="1" applyBorder="1" applyAlignment="1">
      <alignment horizontal="center" vertical="center" wrapText="1"/>
    </xf>
    <xf numFmtId="0" fontId="17" fillId="5" borderId="38" xfId="3" applyFont="1" applyFill="1" applyBorder="1" applyAlignment="1">
      <alignment horizontal="center" vertical="center" wrapText="1"/>
    </xf>
    <xf numFmtId="0" fontId="17" fillId="3" borderId="45" xfId="3" applyFont="1" applyFill="1" applyBorder="1" applyAlignment="1">
      <alignment horizontal="center" vertical="center" wrapText="1"/>
    </xf>
    <xf numFmtId="0" fontId="17" fillId="3" borderId="46" xfId="3" applyFont="1" applyFill="1" applyBorder="1" applyAlignment="1">
      <alignment horizontal="center" vertical="center" wrapText="1"/>
    </xf>
    <xf numFmtId="0" fontId="17" fillId="3" borderId="22" xfId="3" applyFont="1" applyFill="1" applyBorder="1" applyAlignment="1">
      <alignment horizontal="center" vertical="center" wrapText="1"/>
    </xf>
    <xf numFmtId="0" fontId="17" fillId="3" borderId="42" xfId="3" applyFont="1" applyFill="1" applyBorder="1" applyAlignment="1">
      <alignment horizontal="center" vertical="center" wrapText="1"/>
    </xf>
    <xf numFmtId="0" fontId="17" fillId="3" borderId="34" xfId="3" applyFont="1" applyFill="1" applyBorder="1" applyAlignment="1">
      <alignment horizontal="left" vertical="center" wrapText="1"/>
    </xf>
    <xf numFmtId="0" fontId="17" fillId="3" borderId="35" xfId="3" applyFont="1" applyFill="1" applyBorder="1" applyAlignment="1">
      <alignment horizontal="left" vertical="center" wrapText="1"/>
    </xf>
    <xf numFmtId="0" fontId="17" fillId="14" borderId="45" xfId="0" applyFont="1" applyFill="1" applyBorder="1" applyAlignment="1">
      <alignment horizontal="center" vertical="center" wrapText="1"/>
    </xf>
    <xf numFmtId="0" fontId="17" fillId="14" borderId="46" xfId="0" applyFont="1" applyFill="1" applyBorder="1" applyAlignment="1">
      <alignment horizontal="center" vertical="center" wrapText="1"/>
    </xf>
    <xf numFmtId="0" fontId="18" fillId="2" borderId="40" xfId="3" applyFont="1" applyFill="1" applyBorder="1" applyAlignment="1">
      <alignment horizontal="left" vertical="center" wrapText="1"/>
    </xf>
    <xf numFmtId="0" fontId="18" fillId="2" borderId="83" xfId="3" applyFont="1" applyFill="1" applyBorder="1" applyAlignment="1">
      <alignment horizontal="left" vertical="center" wrapText="1"/>
    </xf>
    <xf numFmtId="0" fontId="17" fillId="3" borderId="24" xfId="3" applyFont="1" applyFill="1" applyBorder="1" applyAlignment="1">
      <alignment horizontal="left" vertical="center" wrapText="1"/>
    </xf>
    <xf numFmtId="0" fontId="17" fillId="14" borderId="57" xfId="0" applyFont="1" applyFill="1" applyBorder="1" applyAlignment="1">
      <alignment horizontal="center" vertical="center" wrapText="1"/>
    </xf>
    <xf numFmtId="0" fontId="17" fillId="14" borderId="58" xfId="0" applyFont="1" applyFill="1" applyBorder="1" applyAlignment="1">
      <alignment horizontal="center" vertical="center" wrapText="1"/>
    </xf>
    <xf numFmtId="0" fontId="17" fillId="3" borderId="36" xfId="3" applyFont="1" applyFill="1" applyBorder="1" applyAlignment="1">
      <alignment horizontal="left" vertical="center" wrapText="1"/>
    </xf>
    <xf numFmtId="0" fontId="18" fillId="0" borderId="41" xfId="3" applyFont="1" applyFill="1" applyBorder="1" applyAlignment="1">
      <alignment horizontal="left" vertical="center" wrapText="1"/>
    </xf>
    <xf numFmtId="0" fontId="18" fillId="0" borderId="84" xfId="3" applyFont="1" applyFill="1" applyBorder="1" applyAlignment="1">
      <alignment horizontal="left" vertical="center" wrapText="1"/>
    </xf>
    <xf numFmtId="2" fontId="18" fillId="0" borderId="24" xfId="3" applyNumberFormat="1" applyFont="1" applyFill="1" applyBorder="1" applyAlignment="1">
      <alignment horizontal="left" vertical="center" wrapText="1"/>
    </xf>
    <xf numFmtId="2" fontId="18" fillId="0" borderId="0" xfId="3" applyNumberFormat="1" applyFont="1" applyFill="1" applyBorder="1" applyAlignment="1">
      <alignment horizontal="left" vertical="center" wrapText="1"/>
    </xf>
    <xf numFmtId="2" fontId="18" fillId="0" borderId="43" xfId="3" applyNumberFormat="1" applyFont="1" applyFill="1" applyBorder="1" applyAlignment="1">
      <alignment horizontal="left" vertical="center" wrapText="1"/>
    </xf>
    <xf numFmtId="2" fontId="18" fillId="0" borderId="25" xfId="3" applyNumberFormat="1" applyFont="1" applyFill="1" applyBorder="1" applyAlignment="1">
      <alignment horizontal="left" vertical="center" wrapText="1"/>
    </xf>
    <xf numFmtId="2" fontId="18" fillId="0" borderId="62" xfId="3" applyNumberFormat="1" applyFont="1" applyFill="1" applyBorder="1" applyAlignment="1">
      <alignment horizontal="left" vertical="center" wrapText="1"/>
    </xf>
    <xf numFmtId="2" fontId="18" fillId="0" borderId="44" xfId="3" applyNumberFormat="1" applyFont="1" applyFill="1" applyBorder="1" applyAlignment="1">
      <alignment horizontal="left" vertical="center" wrapText="1"/>
    </xf>
    <xf numFmtId="0" fontId="17" fillId="3" borderId="85" xfId="3" applyFont="1" applyFill="1" applyBorder="1" applyAlignment="1">
      <alignment vertical="center" wrapText="1"/>
    </xf>
    <xf numFmtId="2" fontId="18" fillId="2" borderId="85" xfId="3" applyNumberFormat="1" applyFont="1" applyFill="1" applyBorder="1" applyAlignment="1">
      <alignment horizontal="left" vertical="center" wrapText="1"/>
    </xf>
    <xf numFmtId="0" fontId="17" fillId="3" borderId="82" xfId="3" applyFont="1" applyFill="1" applyBorder="1" applyAlignment="1">
      <alignment horizontal="center" vertical="center" wrapText="1"/>
    </xf>
  </cellXfs>
  <cellStyles count="91">
    <cellStyle name="Comma" xfId="1" builtinId="3"/>
    <cellStyle name="Followed Hyperlink" xfId="7" builtinId="9" hidden="1"/>
    <cellStyle name="Followed Hyperlink" xfId="33" builtinId="9" hidden="1"/>
    <cellStyle name="Followed Hyperlink" xfId="85" builtinId="9" hidden="1"/>
    <cellStyle name="Followed Hyperlink" xfId="66" builtinId="9" hidden="1"/>
    <cellStyle name="Followed Hyperlink" xfId="44" builtinId="9" hidden="1"/>
    <cellStyle name="Followed Hyperlink" xfId="38" builtinId="9" hidden="1"/>
    <cellStyle name="Followed Hyperlink" xfId="88" builtinId="9" hidden="1"/>
    <cellStyle name="Followed Hyperlink" xfId="78" builtinId="9" hidden="1"/>
    <cellStyle name="Followed Hyperlink" xfId="51" builtinId="9" hidden="1"/>
    <cellStyle name="Followed Hyperlink" xfId="41" builtinId="9" hidden="1"/>
    <cellStyle name="Followed Hyperlink" xfId="57" builtinId="9" hidden="1"/>
    <cellStyle name="Followed Hyperlink" xfId="55" builtinId="9" hidden="1"/>
    <cellStyle name="Followed Hyperlink" xfId="81" builtinId="9" hidden="1"/>
    <cellStyle name="Followed Hyperlink" xfId="67" builtinId="9" hidden="1"/>
    <cellStyle name="Followed Hyperlink" xfId="72" builtinId="9" hidden="1"/>
    <cellStyle name="Followed Hyperlink" xfId="5" builtinId="9" hidden="1"/>
    <cellStyle name="Followed Hyperlink" xfId="11" builtinId="9" hidden="1"/>
    <cellStyle name="Followed Hyperlink" xfId="82" builtinId="9" hidden="1"/>
    <cellStyle name="Followed Hyperlink" xfId="47" builtinId="9" hidden="1"/>
    <cellStyle name="Followed Hyperlink" xfId="70" builtinId="9" hidden="1"/>
    <cellStyle name="Followed Hyperlink" xfId="15" builtinId="9" hidden="1"/>
    <cellStyle name="Followed Hyperlink" xfId="12" builtinId="9" hidden="1"/>
    <cellStyle name="Followed Hyperlink" xfId="76" builtinId="9" hidden="1"/>
    <cellStyle name="Followed Hyperlink" xfId="50" builtinId="9" hidden="1"/>
    <cellStyle name="Followed Hyperlink" xfId="79" builtinId="9" hidden="1"/>
    <cellStyle name="Followed Hyperlink" xfId="59" builtinId="9" hidden="1"/>
    <cellStyle name="Followed Hyperlink" xfId="45" builtinId="9" hidden="1"/>
    <cellStyle name="Followed Hyperlink" xfId="35" builtinId="9" hidden="1"/>
    <cellStyle name="Followed Hyperlink" xfId="18" builtinId="9" hidden="1"/>
    <cellStyle name="Followed Hyperlink" xfId="58" builtinId="9" hidden="1"/>
    <cellStyle name="Followed Hyperlink" xfId="54" builtinId="9" hidden="1"/>
    <cellStyle name="Followed Hyperlink" xfId="16" builtinId="9" hidden="1"/>
    <cellStyle name="Followed Hyperlink" xfId="43" builtinId="9" hidden="1"/>
    <cellStyle name="Followed Hyperlink" xfId="25" builtinId="9" hidden="1"/>
    <cellStyle name="Followed Hyperlink" xfId="56" builtinId="9" hidden="1"/>
    <cellStyle name="Followed Hyperlink" xfId="34" builtinId="9" hidden="1"/>
    <cellStyle name="Followed Hyperlink" xfId="52" builtinId="9" hidden="1"/>
    <cellStyle name="Followed Hyperlink" xfId="49" builtinId="9" hidden="1"/>
    <cellStyle name="Followed Hyperlink" xfId="74" builtinId="9" hidden="1"/>
    <cellStyle name="Followed Hyperlink" xfId="64" builtinId="9" hidden="1"/>
    <cellStyle name="Followed Hyperlink" xfId="29" builtinId="9" hidden="1"/>
    <cellStyle name="Followed Hyperlink" xfId="48" builtinId="9" hidden="1"/>
    <cellStyle name="Followed Hyperlink" xfId="62" builtinId="9" hidden="1"/>
    <cellStyle name="Followed Hyperlink" xfId="22" builtinId="9" hidden="1"/>
    <cellStyle name="Followed Hyperlink" xfId="68" builtinId="9" hidden="1"/>
    <cellStyle name="Followed Hyperlink" xfId="65" builtinId="9" hidden="1"/>
    <cellStyle name="Followed Hyperlink" xfId="46" builtinId="9" hidden="1"/>
    <cellStyle name="Followed Hyperlink" xfId="63" builtinId="9" hidden="1"/>
    <cellStyle name="Followed Hyperlink" xfId="90" builtinId="9" hidden="1"/>
    <cellStyle name="Followed Hyperlink" xfId="6" builtinId="9" hidden="1"/>
    <cellStyle name="Followed Hyperlink" xfId="75" builtinId="9" hidden="1"/>
    <cellStyle name="Followed Hyperlink" xfId="30" builtinId="9" hidden="1"/>
    <cellStyle name="Followed Hyperlink" xfId="53" builtinId="9" hidden="1"/>
    <cellStyle name="Followed Hyperlink" xfId="4" builtinId="9" hidden="1"/>
    <cellStyle name="Followed Hyperlink" xfId="28" builtinId="9" hidden="1"/>
    <cellStyle name="Followed Hyperlink" xfId="27" builtinId="9" hidden="1"/>
    <cellStyle name="Followed Hyperlink" xfId="89" builtinId="9" hidden="1"/>
    <cellStyle name="Followed Hyperlink" xfId="20" builtinId="9" hidden="1"/>
    <cellStyle name="Followed Hyperlink" xfId="21" builtinId="9" hidden="1"/>
    <cellStyle name="Followed Hyperlink" xfId="42" builtinId="9" hidden="1"/>
    <cellStyle name="Followed Hyperlink" xfId="86" builtinId="9" hidden="1"/>
    <cellStyle name="Followed Hyperlink" xfId="71" builtinId="9" hidden="1"/>
    <cellStyle name="Followed Hyperlink" xfId="13" builtinId="9" hidden="1"/>
    <cellStyle name="Followed Hyperlink" xfId="40" builtinId="9" hidden="1"/>
    <cellStyle name="Followed Hyperlink" xfId="77" builtinId="9" hidden="1"/>
    <cellStyle name="Followed Hyperlink" xfId="37" builtinId="9" hidden="1"/>
    <cellStyle name="Followed Hyperlink" xfId="14" builtinId="9" hidden="1"/>
    <cellStyle name="Followed Hyperlink" xfId="9" builtinId="9" hidden="1"/>
    <cellStyle name="Followed Hyperlink" xfId="24" builtinId="9" hidden="1"/>
    <cellStyle name="Followed Hyperlink" xfId="83" builtinId="9" hidden="1"/>
    <cellStyle name="Followed Hyperlink" xfId="26" builtinId="9" hidden="1"/>
    <cellStyle name="Followed Hyperlink" xfId="80" builtinId="9" hidden="1"/>
    <cellStyle name="Followed Hyperlink" xfId="31" builtinId="9" hidden="1"/>
    <cellStyle name="Followed Hyperlink" xfId="23" builtinId="9" hidden="1"/>
    <cellStyle name="Followed Hyperlink" xfId="69" builtinId="9" hidden="1"/>
    <cellStyle name="Followed Hyperlink" xfId="32" builtinId="9" hidden="1"/>
    <cellStyle name="Followed Hyperlink" xfId="10" builtinId="9" hidden="1"/>
    <cellStyle name="Followed Hyperlink" xfId="39" builtinId="9" hidden="1"/>
    <cellStyle name="Followed Hyperlink" xfId="87" builtinId="9" hidden="1"/>
    <cellStyle name="Followed Hyperlink" xfId="60" builtinId="9" hidden="1"/>
    <cellStyle name="Followed Hyperlink" xfId="84" builtinId="9" hidden="1"/>
    <cellStyle name="Followed Hyperlink" xfId="73" builtinId="9" hidden="1"/>
    <cellStyle name="Followed Hyperlink" xfId="17" builtinId="9" hidden="1"/>
    <cellStyle name="Followed Hyperlink" xfId="19" builtinId="9" hidden="1"/>
    <cellStyle name="Followed Hyperlink" xfId="36" builtinId="9" hidden="1"/>
    <cellStyle name="Followed Hyperlink" xfId="61" builtinId="9" hidden="1"/>
    <cellStyle name="Hyperlink" xfId="2" builtinId="8"/>
    <cellStyle name="Normal" xfId="0" builtinId="0"/>
    <cellStyle name="Normal_Sheet1" xfId="3" xr:uid="{00000000-0005-0000-0000-000059000000}"/>
    <cellStyle name="Percent" xfId="8" builtinId="5"/>
  </cellStyles>
  <dxfs count="3">
    <dxf>
      <fill>
        <patternFill>
          <bgColor theme="0"/>
        </patternFill>
      </fill>
    </dxf>
    <dxf>
      <fill>
        <patternFill>
          <bgColor theme="0"/>
        </patternFill>
      </fill>
    </dxf>
    <dxf>
      <fill>
        <patternFill>
          <bgColor theme="0"/>
        </patternFill>
      </fill>
    </dxf>
  </dxfs>
  <tableStyles count="0" defaultTableStyle="TableStyleMedium9" defaultPivotStyle="PivotStyleMedium4"/>
  <colors>
    <mruColors>
      <color rgb="FF00BC55"/>
      <color rgb="FF88E8C8"/>
      <color rgb="FF81FF99"/>
      <color rgb="FF00F66F"/>
      <color rgb="FFFFEEB7"/>
      <color rgb="FFFFCC00"/>
      <color rgb="FFFFCC66"/>
      <color rgb="FFFFEE71"/>
      <color rgb="FF0076A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microsoft.com/office/2017/10/relationships/person" Target="persons/person.xml"/></Relationships>
</file>

<file path=xl/drawings/_rels/drawing1.xml.rels><?xml version="1.0" encoding="UTF-8" standalone="yes"?>
<Relationships xmlns="http://schemas.openxmlformats.org/package/2006/relationships"><Relationship Id="rId3" Type="http://schemas.openxmlformats.org/officeDocument/2006/relationships/hyperlink" Target="#'Better Communities'!A1"/><Relationship Id="rId2" Type="http://schemas.openxmlformats.org/officeDocument/2006/relationships/hyperlink" Target="#'Better Planet'!A1"/><Relationship Id="rId1" Type="http://schemas.openxmlformats.org/officeDocument/2006/relationships/image" Target="../media/image2.png"/><Relationship Id="rId4" Type="http://schemas.openxmlformats.org/officeDocument/2006/relationships/hyperlink" Target="#'Better Business'!A1"/></Relationships>
</file>

<file path=xl/drawings/_rels/drawing3.xml.rels><?xml version="1.0" encoding="UTF-8" standalone="yes"?>
<Relationships xmlns="http://schemas.openxmlformats.org/package/2006/relationships"><Relationship Id="rId1" Type="http://schemas.openxmlformats.org/officeDocument/2006/relationships/image" Target="../media/image4.gif"/></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5.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6.emf"/></Relationships>
</file>

<file path=xl/drawings/drawing1.xml><?xml version="1.0" encoding="utf-8"?>
<xdr:wsDr xmlns:xdr="http://schemas.openxmlformats.org/drawingml/2006/spreadsheetDrawing" xmlns:a="http://schemas.openxmlformats.org/drawingml/2006/main">
  <xdr:twoCellAnchor>
    <xdr:from>
      <xdr:col>0</xdr:col>
      <xdr:colOff>142875</xdr:colOff>
      <xdr:row>2</xdr:row>
      <xdr:rowOff>133349</xdr:rowOff>
    </xdr:from>
    <xdr:to>
      <xdr:col>4</xdr:col>
      <xdr:colOff>361951</xdr:colOff>
      <xdr:row>8</xdr:row>
      <xdr:rowOff>133350</xdr:rowOff>
    </xdr:to>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142875" y="533399"/>
          <a:ext cx="2962276" cy="12001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3200" b="1">
              <a:solidFill>
                <a:srgbClr val="0076AA"/>
              </a:solidFill>
              <a:latin typeface="Segoe UI" panose="020B0502040204020203" pitchFamily="34" charset="0"/>
              <a:ea typeface="Segoe UI" panose="020B0502040204020203" pitchFamily="34" charset="0"/>
              <a:cs typeface="Segoe UI" panose="020B0502040204020203" pitchFamily="34" charset="0"/>
            </a:rPr>
            <a:t>Sustainability Framework</a:t>
          </a:r>
        </a:p>
      </xdr:txBody>
    </xdr:sp>
    <xdr:clientData/>
  </xdr:twoCellAnchor>
  <xdr:twoCellAnchor editAs="oneCell">
    <xdr:from>
      <xdr:col>0</xdr:col>
      <xdr:colOff>257176</xdr:colOff>
      <xdr:row>0</xdr:row>
      <xdr:rowOff>152402</xdr:rowOff>
    </xdr:from>
    <xdr:to>
      <xdr:col>2</xdr:col>
      <xdr:colOff>152400</xdr:colOff>
      <xdr:row>2</xdr:row>
      <xdr:rowOff>41717</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57176" y="152402"/>
          <a:ext cx="1266824" cy="289365"/>
        </a:xfrm>
        <a:prstGeom prst="rect">
          <a:avLst/>
        </a:prstGeom>
      </xdr:spPr>
    </xdr:pic>
    <xdr:clientData/>
  </xdr:twoCellAnchor>
  <xdr:twoCellAnchor>
    <xdr:from>
      <xdr:col>4</xdr:col>
      <xdr:colOff>523875</xdr:colOff>
      <xdr:row>7</xdr:row>
      <xdr:rowOff>180975</xdr:rowOff>
    </xdr:from>
    <xdr:to>
      <xdr:col>10</xdr:col>
      <xdr:colOff>342900</xdr:colOff>
      <xdr:row>26</xdr:row>
      <xdr:rowOff>171451</xdr:rowOff>
    </xdr:to>
    <xdr:sp macro="" textlink="">
      <xdr:nvSpPr>
        <xdr:cNvPr id="5" name="Pie 4">
          <a:hlinkClick xmlns:r="http://schemas.openxmlformats.org/officeDocument/2006/relationships" r:id="rId2"/>
          <a:extLst>
            <a:ext uri="{FF2B5EF4-FFF2-40B4-BE49-F238E27FC236}">
              <a16:creationId xmlns:a16="http://schemas.microsoft.com/office/drawing/2014/main" id="{00000000-0008-0000-0000-000005000000}"/>
            </a:ext>
          </a:extLst>
        </xdr:cNvPr>
        <xdr:cNvSpPr/>
      </xdr:nvSpPr>
      <xdr:spPr>
        <a:xfrm>
          <a:off x="3267075" y="1581150"/>
          <a:ext cx="3933825" cy="3790951"/>
        </a:xfrm>
        <a:prstGeom prst="pie">
          <a:avLst>
            <a:gd name="adj1" fmla="val 12664927"/>
            <a:gd name="adj2" fmla="val 19795921"/>
          </a:avLst>
        </a:prstGeom>
        <a:noFill/>
        <a:ln>
          <a:no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en-GB" sz="1100">
            <a:solidFill>
              <a:schemeClr val="tx1"/>
            </a:solidFill>
          </a:endParaRPr>
        </a:p>
      </xdr:txBody>
    </xdr:sp>
    <xdr:clientData/>
  </xdr:twoCellAnchor>
  <xdr:twoCellAnchor>
    <xdr:from>
      <xdr:col>4</xdr:col>
      <xdr:colOff>514350</xdr:colOff>
      <xdr:row>8</xdr:row>
      <xdr:rowOff>66675</xdr:rowOff>
    </xdr:from>
    <xdr:to>
      <xdr:col>10</xdr:col>
      <xdr:colOff>333375</xdr:colOff>
      <xdr:row>27</xdr:row>
      <xdr:rowOff>57151</xdr:rowOff>
    </xdr:to>
    <xdr:sp macro="" textlink="">
      <xdr:nvSpPr>
        <xdr:cNvPr id="6" name="Pie 5">
          <a:hlinkClick xmlns:r="http://schemas.openxmlformats.org/officeDocument/2006/relationships" r:id="rId3"/>
          <a:extLst>
            <a:ext uri="{FF2B5EF4-FFF2-40B4-BE49-F238E27FC236}">
              <a16:creationId xmlns:a16="http://schemas.microsoft.com/office/drawing/2014/main" id="{00000000-0008-0000-0000-000006000000}"/>
            </a:ext>
          </a:extLst>
        </xdr:cNvPr>
        <xdr:cNvSpPr/>
      </xdr:nvSpPr>
      <xdr:spPr>
        <a:xfrm>
          <a:off x="3257550" y="1666875"/>
          <a:ext cx="3933825" cy="3790951"/>
        </a:xfrm>
        <a:prstGeom prst="pie">
          <a:avLst>
            <a:gd name="adj1" fmla="val 5419207"/>
            <a:gd name="adj2" fmla="val 12672165"/>
          </a:avLst>
        </a:prstGeom>
        <a:noFill/>
        <a:ln>
          <a:no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en-GB" sz="1100">
            <a:solidFill>
              <a:srgbClr val="FF0000"/>
            </a:solidFill>
          </a:endParaRPr>
        </a:p>
      </xdr:txBody>
    </xdr:sp>
    <xdr:clientData/>
  </xdr:twoCellAnchor>
  <xdr:twoCellAnchor>
    <xdr:from>
      <xdr:col>4</xdr:col>
      <xdr:colOff>600075</xdr:colOff>
      <xdr:row>8</xdr:row>
      <xdr:rowOff>47625</xdr:rowOff>
    </xdr:from>
    <xdr:to>
      <xdr:col>10</xdr:col>
      <xdr:colOff>419100</xdr:colOff>
      <xdr:row>27</xdr:row>
      <xdr:rowOff>38101</xdr:rowOff>
    </xdr:to>
    <xdr:sp macro="" textlink="">
      <xdr:nvSpPr>
        <xdr:cNvPr id="7" name="Pie 6">
          <a:hlinkClick xmlns:r="http://schemas.openxmlformats.org/officeDocument/2006/relationships" r:id="rId4"/>
          <a:extLst>
            <a:ext uri="{FF2B5EF4-FFF2-40B4-BE49-F238E27FC236}">
              <a16:creationId xmlns:a16="http://schemas.microsoft.com/office/drawing/2014/main" id="{00000000-0008-0000-0000-000007000000}"/>
            </a:ext>
          </a:extLst>
        </xdr:cNvPr>
        <xdr:cNvSpPr/>
      </xdr:nvSpPr>
      <xdr:spPr>
        <a:xfrm>
          <a:off x="3343275" y="1647825"/>
          <a:ext cx="3933825" cy="3790951"/>
        </a:xfrm>
        <a:prstGeom prst="pie">
          <a:avLst>
            <a:gd name="adj1" fmla="val 19842265"/>
            <a:gd name="adj2" fmla="val 5414272"/>
          </a:avLst>
        </a:prstGeom>
        <a:noFill/>
        <a:ln>
          <a:no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en-GB" sz="1100">
            <a:solidFill>
              <a:srgbClr val="FF0000"/>
            </a:solidFill>
          </a:endParaRPr>
        </a:p>
      </xdr:txBody>
    </xdr:sp>
    <xdr:clientData/>
  </xdr:twoCellAnchor>
  <xdr:twoCellAnchor>
    <xdr:from>
      <xdr:col>10</xdr:col>
      <xdr:colOff>581025</xdr:colOff>
      <xdr:row>2</xdr:row>
      <xdr:rowOff>142874</xdr:rowOff>
    </xdr:from>
    <xdr:to>
      <xdr:col>14</xdr:col>
      <xdr:colOff>533400</xdr:colOff>
      <xdr:row>7</xdr:row>
      <xdr:rowOff>28575</xdr:rowOff>
    </xdr:to>
    <xdr:sp macro="" textlink="">
      <xdr:nvSpPr>
        <xdr:cNvPr id="8" name="TextBox 7">
          <a:extLst>
            <a:ext uri="{FF2B5EF4-FFF2-40B4-BE49-F238E27FC236}">
              <a16:creationId xmlns:a16="http://schemas.microsoft.com/office/drawing/2014/main" id="{00000000-0008-0000-0000-000008000000}"/>
            </a:ext>
          </a:extLst>
        </xdr:cNvPr>
        <xdr:cNvSpPr txBox="1"/>
      </xdr:nvSpPr>
      <xdr:spPr>
        <a:xfrm>
          <a:off x="7439025" y="542924"/>
          <a:ext cx="2695575" cy="12954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n-GB" sz="3200" b="1">
              <a:solidFill>
                <a:srgbClr val="0076AA"/>
              </a:solidFill>
              <a:latin typeface="Segoe UI" panose="020B0502040204020203" pitchFamily="34" charset="0"/>
              <a:ea typeface="Segoe UI" panose="020B0502040204020203" pitchFamily="34" charset="0"/>
              <a:cs typeface="Segoe UI" panose="020B0502040204020203" pitchFamily="34" charset="0"/>
            </a:rPr>
            <a:t>Five</a:t>
          </a:r>
          <a:r>
            <a:rPr lang="en-GB" sz="3200" b="1" baseline="0">
              <a:solidFill>
                <a:srgbClr val="0076AA"/>
              </a:solidFill>
              <a:latin typeface="Segoe UI" panose="020B0502040204020203" pitchFamily="34" charset="0"/>
              <a:ea typeface="Segoe UI" panose="020B0502040204020203" pitchFamily="34" charset="0"/>
              <a:cs typeface="Segoe UI" panose="020B0502040204020203" pitchFamily="34" charset="0"/>
            </a:rPr>
            <a:t> Year Report</a:t>
          </a:r>
          <a:endParaRPr lang="en-GB" sz="3200" b="1">
            <a:solidFill>
              <a:srgbClr val="0076AA"/>
            </a:solidFill>
            <a:latin typeface="Segoe UI" panose="020B0502040204020203" pitchFamily="34" charset="0"/>
            <a:ea typeface="Segoe UI" panose="020B0502040204020203" pitchFamily="34" charset="0"/>
            <a:cs typeface="Segoe UI" panose="020B0502040204020203" pitchFamily="34" charset="0"/>
          </a:endParaRPr>
        </a:p>
      </xdr:txBody>
    </xdr:sp>
    <xdr:clientData/>
  </xdr:twoCellAnchor>
  <mc:AlternateContent xmlns:mc="http://schemas.openxmlformats.org/markup-compatibility/2006">
    <mc:Choice xmlns:a14="http://schemas.microsoft.com/office/drawing/2010/main" Requires="a14">
      <xdr:twoCellAnchor editAs="oneCell">
        <xdr:from>
          <xdr:col>5</xdr:col>
          <xdr:colOff>495300</xdr:colOff>
          <xdr:row>1</xdr:row>
          <xdr:rowOff>184150</xdr:rowOff>
        </xdr:from>
        <xdr:to>
          <xdr:col>10</xdr:col>
          <xdr:colOff>165100</xdr:colOff>
          <xdr:row>15</xdr:row>
          <xdr:rowOff>127000</xdr:rowOff>
        </xdr:to>
        <xdr:sp macro="" textlink="">
          <xdr:nvSpPr>
            <xdr:cNvPr id="1025" name="Object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19050</xdr:colOff>
          <xdr:row>0</xdr:row>
          <xdr:rowOff>50800</xdr:rowOff>
        </xdr:from>
        <xdr:to>
          <xdr:col>9</xdr:col>
          <xdr:colOff>431800</xdr:colOff>
          <xdr:row>1</xdr:row>
          <xdr:rowOff>1117600</xdr:rowOff>
        </xdr:to>
        <xdr:sp macro="" textlink="">
          <xdr:nvSpPr>
            <xdr:cNvPr id="2049" name="Object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10</xdr:col>
      <xdr:colOff>472440</xdr:colOff>
      <xdr:row>0</xdr:row>
      <xdr:rowOff>83820</xdr:rowOff>
    </xdr:from>
    <xdr:to>
      <xdr:col>12</xdr:col>
      <xdr:colOff>336168</xdr:colOff>
      <xdr:row>1</xdr:row>
      <xdr:rowOff>320040</xdr:rowOff>
    </xdr:to>
    <xdr:pic>
      <xdr:nvPicPr>
        <xdr:cNvPr id="2" name="Picture 1" descr="clip_image002">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88880" y="83820"/>
          <a:ext cx="1540128" cy="43434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31750</xdr:colOff>
          <xdr:row>0</xdr:row>
          <xdr:rowOff>76200</xdr:rowOff>
        </xdr:from>
        <xdr:to>
          <xdr:col>9</xdr:col>
          <xdr:colOff>355600</xdr:colOff>
          <xdr:row>1</xdr:row>
          <xdr:rowOff>1123950</xdr:rowOff>
        </xdr:to>
        <xdr:sp macro="" textlink="">
          <xdr:nvSpPr>
            <xdr:cNvPr id="5121" name="Object 1" hidden="1">
              <a:extLst>
                <a:ext uri="{63B3BB69-23CF-44E3-9099-C40C66FF867C}">
                  <a14:compatExt spid="_x0000_s5121"/>
                </a:ext>
                <a:ext uri="{FF2B5EF4-FFF2-40B4-BE49-F238E27FC236}">
                  <a16:creationId xmlns:a16="http://schemas.microsoft.com/office/drawing/2014/main" id="{00000000-0008-0000-0300-0000011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12700</xdr:colOff>
          <xdr:row>0</xdr:row>
          <xdr:rowOff>76200</xdr:rowOff>
        </xdr:from>
        <xdr:to>
          <xdr:col>9</xdr:col>
          <xdr:colOff>412750</xdr:colOff>
          <xdr:row>1</xdr:row>
          <xdr:rowOff>1123950</xdr:rowOff>
        </xdr:to>
        <xdr:sp macro="" textlink="">
          <xdr:nvSpPr>
            <xdr:cNvPr id="4097" name="Object 1" hidden="1">
              <a:extLst>
                <a:ext uri="{63B3BB69-23CF-44E3-9099-C40C66FF867C}">
                  <a14:compatExt spid="_x0000_s4097"/>
                </a:ext>
                <a:ext uri="{FF2B5EF4-FFF2-40B4-BE49-F238E27FC236}">
                  <a16:creationId xmlns:a16="http://schemas.microsoft.com/office/drawing/2014/main" id="{00000000-0008-0000-0400-00000110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persons/person.xml><?xml version="1.0" encoding="utf-8"?>
<personList xmlns="http://schemas.microsoft.com/office/spreadsheetml/2018/threadedcomments" xmlns:x="http://schemas.openxmlformats.org/spreadsheetml/2006/main">
  <person displayName="McLachlan, David" id="{79E7B950-8BE8-41A5-A93A-323A897024D6}" userId="S::david.mclachlan@brambles.com::21c1111d-ed4f-44ef-820d-64b9d69d1632"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C206" dT="2021-09-10T11:00:45.30" personId="{79E7B950-8BE8-41A5-A93A-323A897024D6}" id="{8BE6B659-562F-4D00-BF0F-F988BBB84967}">
    <text>need to add mumbia</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microsoft.com/office/2017/10/relationships/threadedComment" Target="../threadedComments/threadedComment1.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omments" Target="../comments1.xml"/><Relationship Id="rId5" Type="http://schemas.openxmlformats.org/officeDocument/2006/relationships/image" Target="../media/image3.emf"/><Relationship Id="rId4" Type="http://schemas.openxmlformats.org/officeDocument/2006/relationships/oleObject" Target="../embeddings/oleObject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5" Type="http://schemas.openxmlformats.org/officeDocument/2006/relationships/image" Target="../media/image5.emf"/><Relationship Id="rId4" Type="http://schemas.openxmlformats.org/officeDocument/2006/relationships/oleObject" Target="../embeddings/oleObject3.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 Id="rId5" Type="http://schemas.openxmlformats.org/officeDocument/2006/relationships/image" Target="../media/image6.emf"/><Relationship Id="rId4" Type="http://schemas.openxmlformats.org/officeDocument/2006/relationships/oleObject" Target="../embeddings/oleObject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3"/>
  </sheetPr>
  <dimension ref="A1:V42"/>
  <sheetViews>
    <sheetView workbookViewId="0">
      <selection activeCell="E10" sqref="E10"/>
    </sheetView>
  </sheetViews>
  <sheetFormatPr defaultColWidth="9" defaultRowHeight="15.5" x14ac:dyDescent="0.35"/>
  <sheetData>
    <row r="1" spans="1:22" x14ac:dyDescent="0.35">
      <c r="A1" s="7"/>
      <c r="B1" s="7"/>
      <c r="C1" s="7"/>
      <c r="D1" s="7"/>
      <c r="E1" s="7"/>
      <c r="F1" s="7"/>
      <c r="G1" s="7"/>
      <c r="H1" s="7"/>
      <c r="I1" s="7"/>
      <c r="J1" s="7"/>
      <c r="K1" s="7"/>
      <c r="L1" s="7"/>
      <c r="M1" s="7"/>
      <c r="N1" s="7"/>
      <c r="O1" s="7"/>
      <c r="P1" s="125"/>
      <c r="Q1" s="125"/>
      <c r="R1" s="125"/>
      <c r="S1" s="125"/>
      <c r="T1" s="125"/>
      <c r="U1" s="125"/>
      <c r="V1" s="125"/>
    </row>
    <row r="2" spans="1:22" x14ac:dyDescent="0.35">
      <c r="A2" s="7"/>
      <c r="B2" s="7"/>
      <c r="C2" s="7"/>
      <c r="D2" s="7"/>
      <c r="E2" s="7"/>
      <c r="F2" s="7"/>
      <c r="G2" s="7"/>
      <c r="H2" s="7"/>
      <c r="I2" s="7"/>
      <c r="J2" s="7"/>
      <c r="K2" s="7"/>
      <c r="L2" s="7"/>
      <c r="M2" s="7"/>
      <c r="N2" s="7"/>
      <c r="O2" s="7"/>
      <c r="P2" s="125"/>
      <c r="Q2" s="125"/>
      <c r="R2" s="125"/>
      <c r="S2" s="125"/>
      <c r="T2" s="125"/>
      <c r="U2" s="125"/>
      <c r="V2" s="125"/>
    </row>
    <row r="3" spans="1:22" x14ac:dyDescent="0.35">
      <c r="A3" s="7"/>
      <c r="B3" s="7"/>
      <c r="C3" s="7"/>
      <c r="D3" s="7"/>
      <c r="E3" s="7"/>
      <c r="F3" s="7"/>
      <c r="G3" s="7"/>
      <c r="H3" s="7"/>
      <c r="I3" s="7"/>
      <c r="J3" s="7"/>
      <c r="K3" s="7"/>
      <c r="L3" s="7"/>
      <c r="M3" s="7"/>
      <c r="N3" s="7"/>
      <c r="O3" s="7"/>
      <c r="P3" s="125"/>
      <c r="Q3" s="125"/>
      <c r="R3" s="125"/>
      <c r="S3" s="125"/>
      <c r="T3" s="125"/>
      <c r="U3" s="125"/>
      <c r="V3" s="125"/>
    </row>
    <row r="4" spans="1:22" ht="46" x14ac:dyDescent="1.1499999999999999">
      <c r="A4" s="7"/>
      <c r="B4" s="7"/>
      <c r="C4" s="7"/>
      <c r="D4" s="7"/>
      <c r="E4" s="7"/>
      <c r="F4" s="7"/>
      <c r="G4" s="7"/>
      <c r="H4" s="7"/>
      <c r="I4" s="7"/>
      <c r="J4" s="7"/>
      <c r="K4" s="7"/>
      <c r="L4" s="13"/>
      <c r="M4" s="7"/>
      <c r="N4" s="7"/>
      <c r="O4" s="7"/>
      <c r="P4" s="125"/>
      <c r="Q4" s="125"/>
      <c r="R4" s="125"/>
      <c r="S4" s="125"/>
      <c r="T4" s="125"/>
      <c r="U4" s="125"/>
      <c r="V4" s="125"/>
    </row>
    <row r="5" spans="1:22" x14ac:dyDescent="0.35">
      <c r="A5" s="7"/>
      <c r="B5" s="7"/>
      <c r="C5" s="7"/>
      <c r="D5" s="7"/>
      <c r="E5" s="7"/>
      <c r="F5" s="7"/>
      <c r="G5" s="7"/>
      <c r="H5" s="7"/>
      <c r="I5" s="7"/>
      <c r="J5" s="7"/>
      <c r="K5" s="7"/>
      <c r="L5" s="7"/>
      <c r="M5" s="7"/>
      <c r="N5" s="7"/>
      <c r="O5" s="7"/>
      <c r="P5" s="125"/>
      <c r="Q5" s="125"/>
      <c r="R5" s="125"/>
      <c r="S5" s="125"/>
      <c r="T5" s="125"/>
      <c r="U5" s="125"/>
      <c r="V5" s="125"/>
    </row>
    <row r="6" spans="1:22" x14ac:dyDescent="0.35">
      <c r="A6" s="7"/>
      <c r="B6" s="7"/>
      <c r="C6" s="7"/>
      <c r="D6" s="7"/>
      <c r="E6" s="7"/>
      <c r="F6" s="7"/>
      <c r="G6" s="7"/>
      <c r="H6" s="7"/>
      <c r="I6" s="7"/>
      <c r="J6" s="7"/>
      <c r="K6" s="7"/>
      <c r="L6" s="7"/>
      <c r="M6" s="7"/>
      <c r="N6" s="7"/>
      <c r="O6" s="7"/>
      <c r="P6" s="125"/>
      <c r="Q6" s="125"/>
      <c r="R6" s="125"/>
      <c r="S6" s="125"/>
      <c r="T6" s="125"/>
      <c r="U6" s="125"/>
      <c r="V6" s="125"/>
    </row>
    <row r="7" spans="1:22" x14ac:dyDescent="0.35">
      <c r="A7" s="7"/>
      <c r="B7" s="7"/>
      <c r="C7" s="7"/>
      <c r="D7" s="7"/>
      <c r="E7" s="7"/>
      <c r="F7" s="7"/>
      <c r="G7" s="7"/>
      <c r="H7" s="7"/>
      <c r="I7" s="7"/>
      <c r="J7" s="7"/>
      <c r="K7" s="7"/>
      <c r="L7" s="7"/>
      <c r="M7" s="7"/>
      <c r="N7" s="7"/>
      <c r="O7" s="7"/>
      <c r="P7" s="125"/>
      <c r="Q7" s="125"/>
      <c r="R7" s="125"/>
      <c r="S7" s="125"/>
      <c r="T7" s="125"/>
      <c r="U7" s="125"/>
      <c r="V7" s="125"/>
    </row>
    <row r="8" spans="1:22" x14ac:dyDescent="0.35">
      <c r="A8" s="7"/>
      <c r="B8" s="7"/>
      <c r="C8" s="7"/>
      <c r="D8" s="7"/>
      <c r="E8" s="7"/>
      <c r="F8" s="7"/>
      <c r="G8" s="7"/>
      <c r="H8" s="7"/>
      <c r="I8" s="7"/>
      <c r="J8" s="7"/>
      <c r="K8" s="7"/>
      <c r="L8" s="7"/>
      <c r="M8" s="7"/>
      <c r="N8" s="7"/>
      <c r="O8" s="7"/>
      <c r="P8" s="125"/>
      <c r="Q8" s="125"/>
      <c r="R8" s="125"/>
      <c r="S8" s="125"/>
      <c r="T8" s="125"/>
      <c r="U8" s="125"/>
      <c r="V8" s="125"/>
    </row>
    <row r="9" spans="1:22" x14ac:dyDescent="0.35">
      <c r="A9" s="7"/>
      <c r="B9" s="7"/>
      <c r="C9" s="7"/>
      <c r="D9" s="7"/>
      <c r="E9" s="7"/>
      <c r="F9" s="7"/>
      <c r="G9" s="7"/>
      <c r="H9" s="7"/>
      <c r="I9" s="7"/>
      <c r="J9" s="7"/>
      <c r="K9" s="7"/>
      <c r="L9" s="7"/>
      <c r="M9" s="7"/>
      <c r="N9" s="7"/>
      <c r="O9" s="7"/>
      <c r="P9" s="125"/>
      <c r="Q9" s="125"/>
      <c r="R9" s="125"/>
      <c r="S9" s="125"/>
      <c r="T9" s="125"/>
      <c r="U9" s="125"/>
      <c r="V9" s="125"/>
    </row>
    <row r="10" spans="1:22" x14ac:dyDescent="0.35">
      <c r="A10" s="7"/>
      <c r="B10" s="7"/>
      <c r="C10" s="7"/>
      <c r="D10" s="7"/>
      <c r="E10" s="7"/>
      <c r="F10" s="7"/>
      <c r="G10" s="7"/>
      <c r="H10" s="7"/>
      <c r="I10" s="7"/>
      <c r="J10" s="7"/>
      <c r="K10" s="7"/>
      <c r="L10" s="7"/>
      <c r="M10" s="7"/>
      <c r="N10" s="7"/>
      <c r="O10" s="7"/>
      <c r="P10" s="125"/>
      <c r="Q10" s="125"/>
      <c r="R10" s="125"/>
      <c r="S10" s="125"/>
      <c r="T10" s="125"/>
      <c r="U10" s="125"/>
      <c r="V10" s="125"/>
    </row>
    <row r="11" spans="1:22" x14ac:dyDescent="0.35">
      <c r="A11" s="7"/>
      <c r="B11" s="7"/>
      <c r="C11" s="7"/>
      <c r="D11" s="7"/>
      <c r="E11" s="7"/>
      <c r="F11" s="7"/>
      <c r="G11" s="7"/>
      <c r="H11" s="7"/>
      <c r="I11" s="7"/>
      <c r="J11" s="7"/>
      <c r="K11" s="7"/>
      <c r="L11" s="7"/>
      <c r="M11" s="7"/>
      <c r="N11" s="7"/>
      <c r="O11" s="7"/>
      <c r="P11" s="125"/>
      <c r="Q11" s="125"/>
      <c r="R11" s="125"/>
      <c r="S11" s="125"/>
      <c r="T11" s="125"/>
      <c r="U11" s="125"/>
      <c r="V11" s="125"/>
    </row>
    <row r="12" spans="1:22" x14ac:dyDescent="0.35">
      <c r="A12" s="7"/>
      <c r="B12" s="7"/>
      <c r="C12" s="7"/>
      <c r="D12" s="7"/>
      <c r="E12" s="7"/>
      <c r="F12" s="7"/>
      <c r="G12" s="7"/>
      <c r="H12" s="7"/>
      <c r="I12" s="7"/>
      <c r="J12" s="7"/>
      <c r="K12" s="7"/>
      <c r="L12" s="7"/>
      <c r="M12" s="7"/>
      <c r="N12" s="7"/>
      <c r="O12" s="7"/>
      <c r="P12" s="125"/>
      <c r="Q12" s="125"/>
      <c r="R12" s="125"/>
      <c r="S12" s="125"/>
      <c r="T12" s="125"/>
      <c r="U12" s="125"/>
      <c r="V12" s="125"/>
    </row>
    <row r="13" spans="1:22" x14ac:dyDescent="0.35">
      <c r="A13" s="7"/>
      <c r="B13" s="7"/>
      <c r="C13" s="7"/>
      <c r="D13" s="7"/>
      <c r="E13" s="7"/>
      <c r="F13" s="7"/>
      <c r="G13" s="7"/>
      <c r="H13" s="7"/>
      <c r="I13" s="7"/>
      <c r="J13" s="7"/>
      <c r="K13" s="7"/>
      <c r="L13" s="7"/>
      <c r="M13" s="7"/>
      <c r="N13" s="7"/>
      <c r="O13" s="7"/>
      <c r="P13" s="125"/>
      <c r="Q13" s="125"/>
      <c r="R13" s="125"/>
      <c r="S13" s="125"/>
      <c r="T13" s="125"/>
      <c r="U13" s="125"/>
      <c r="V13" s="125"/>
    </row>
    <row r="14" spans="1:22" x14ac:dyDescent="0.35">
      <c r="A14" s="7"/>
      <c r="B14" s="7"/>
      <c r="C14" s="7"/>
      <c r="D14" s="7"/>
      <c r="E14" s="7"/>
      <c r="F14" s="7"/>
      <c r="G14" s="7"/>
      <c r="H14" s="7"/>
      <c r="I14" s="7"/>
      <c r="J14" s="7"/>
      <c r="K14" s="7"/>
      <c r="L14" s="7"/>
      <c r="M14" s="7"/>
      <c r="N14" s="7"/>
      <c r="O14" s="7"/>
      <c r="P14" s="125"/>
      <c r="Q14" s="125"/>
      <c r="R14" s="125"/>
      <c r="S14" s="125"/>
      <c r="T14" s="125"/>
      <c r="U14" s="125"/>
      <c r="V14" s="125"/>
    </row>
    <row r="15" spans="1:22" x14ac:dyDescent="0.35">
      <c r="A15" s="7"/>
      <c r="B15" s="7"/>
      <c r="C15" s="7"/>
      <c r="D15" s="7"/>
      <c r="E15" s="7"/>
      <c r="F15" s="7"/>
      <c r="G15" s="7"/>
      <c r="H15" s="7"/>
      <c r="I15" s="7"/>
      <c r="J15" s="7"/>
      <c r="K15" s="7"/>
      <c r="L15" s="7"/>
      <c r="M15" s="7"/>
      <c r="N15" s="7"/>
      <c r="O15" s="7"/>
      <c r="P15" s="125"/>
      <c r="Q15" s="125"/>
      <c r="R15" s="125"/>
      <c r="S15" s="125"/>
      <c r="T15" s="125"/>
      <c r="U15" s="125"/>
      <c r="V15" s="125"/>
    </row>
    <row r="16" spans="1:22" x14ac:dyDescent="0.35">
      <c r="A16" s="7"/>
      <c r="B16" s="7"/>
      <c r="C16" s="7"/>
      <c r="D16" s="7"/>
      <c r="E16" s="7"/>
      <c r="F16" s="7"/>
      <c r="G16" s="7"/>
      <c r="H16" s="7"/>
      <c r="I16" s="7"/>
      <c r="J16" s="7"/>
      <c r="K16" s="7"/>
      <c r="L16" s="7"/>
      <c r="M16" s="7"/>
      <c r="N16" s="7"/>
      <c r="O16" s="7"/>
      <c r="P16" s="125"/>
      <c r="Q16" s="125"/>
      <c r="R16" s="125"/>
      <c r="S16" s="125"/>
      <c r="T16" s="125"/>
      <c r="U16" s="125"/>
      <c r="V16" s="125"/>
    </row>
    <row r="17" spans="1:22" x14ac:dyDescent="0.35">
      <c r="A17" s="7"/>
      <c r="B17" s="7"/>
      <c r="C17" s="7"/>
      <c r="D17" s="7"/>
      <c r="E17" s="7"/>
      <c r="F17" s="7"/>
      <c r="G17" s="7"/>
      <c r="H17" s="7"/>
      <c r="I17" s="7"/>
      <c r="J17" s="7"/>
      <c r="K17" s="7"/>
      <c r="L17" s="7"/>
      <c r="M17" s="7"/>
      <c r="N17" s="7"/>
      <c r="O17" s="7"/>
      <c r="P17" s="125"/>
      <c r="Q17" s="125"/>
      <c r="R17" s="125"/>
      <c r="S17" s="125"/>
      <c r="T17" s="125"/>
      <c r="U17" s="125"/>
      <c r="V17" s="125"/>
    </row>
    <row r="18" spans="1:22" x14ac:dyDescent="0.35">
      <c r="A18" s="7"/>
      <c r="B18" s="7"/>
      <c r="C18" s="7"/>
      <c r="D18" s="7"/>
      <c r="E18" s="7"/>
      <c r="F18" s="7"/>
      <c r="G18" s="7"/>
      <c r="H18" s="7"/>
      <c r="I18" s="7"/>
      <c r="J18" s="7"/>
      <c r="K18" s="7"/>
      <c r="L18" s="7"/>
      <c r="M18" s="7"/>
      <c r="N18" s="7"/>
      <c r="O18" s="7"/>
      <c r="P18" s="125"/>
      <c r="Q18" s="125"/>
      <c r="R18" s="125"/>
      <c r="S18" s="125"/>
      <c r="T18" s="125"/>
      <c r="U18" s="125"/>
      <c r="V18" s="125"/>
    </row>
    <row r="19" spans="1:22" x14ac:dyDescent="0.35">
      <c r="A19" s="7"/>
      <c r="B19" s="7"/>
      <c r="C19" s="7"/>
      <c r="D19" s="7"/>
      <c r="E19" s="7"/>
      <c r="F19" s="7"/>
      <c r="G19" s="7"/>
      <c r="H19" s="7"/>
      <c r="I19" s="7"/>
      <c r="J19" s="7"/>
      <c r="K19" s="7"/>
      <c r="L19" s="7"/>
      <c r="M19" s="7"/>
      <c r="N19" s="7"/>
      <c r="O19" s="7"/>
      <c r="P19" s="125"/>
      <c r="Q19" s="125"/>
      <c r="R19" s="125"/>
      <c r="S19" s="125"/>
      <c r="T19" s="125"/>
      <c r="U19" s="125"/>
      <c r="V19" s="125"/>
    </row>
    <row r="20" spans="1:22" x14ac:dyDescent="0.35">
      <c r="A20" s="7"/>
      <c r="B20" s="7"/>
      <c r="C20" s="7"/>
      <c r="D20" s="7"/>
      <c r="E20" s="7"/>
      <c r="F20" s="7"/>
      <c r="G20" s="7"/>
      <c r="H20" s="7"/>
      <c r="I20" s="7"/>
      <c r="J20" s="7"/>
      <c r="K20" s="7"/>
      <c r="L20" s="7"/>
      <c r="M20" s="7"/>
      <c r="N20" s="7"/>
      <c r="O20" s="7"/>
      <c r="P20" s="125"/>
      <c r="Q20" s="125"/>
      <c r="R20" s="125"/>
      <c r="S20" s="125"/>
      <c r="T20" s="125"/>
      <c r="U20" s="125"/>
      <c r="V20" s="125"/>
    </row>
    <row r="21" spans="1:22" x14ac:dyDescent="0.35">
      <c r="A21" s="7"/>
      <c r="B21" s="7"/>
      <c r="C21" s="7"/>
      <c r="D21" s="7"/>
      <c r="E21" s="7"/>
      <c r="F21" s="7"/>
      <c r="G21" s="7"/>
      <c r="H21" s="7"/>
      <c r="I21" s="7"/>
      <c r="J21" s="7"/>
      <c r="K21" s="7"/>
      <c r="L21" s="7"/>
      <c r="M21" s="7"/>
      <c r="N21" s="7"/>
      <c r="O21" s="7"/>
      <c r="P21" s="125"/>
      <c r="Q21" s="125"/>
      <c r="R21" s="125"/>
      <c r="S21" s="125"/>
      <c r="T21" s="125"/>
      <c r="U21" s="125"/>
      <c r="V21" s="125"/>
    </row>
    <row r="22" spans="1:22" x14ac:dyDescent="0.35">
      <c r="A22" s="7"/>
      <c r="B22" s="7"/>
      <c r="C22" s="7"/>
      <c r="D22" s="7"/>
      <c r="E22" s="7"/>
      <c r="F22" s="7"/>
      <c r="G22" s="7"/>
      <c r="H22" s="7"/>
      <c r="I22" s="7"/>
      <c r="J22" s="7"/>
      <c r="K22" s="7"/>
      <c r="L22" s="7"/>
      <c r="M22" s="7"/>
      <c r="N22" s="7"/>
      <c r="O22" s="7"/>
      <c r="P22" s="125"/>
      <c r="Q22" s="125"/>
      <c r="R22" s="125"/>
      <c r="S22" s="125"/>
      <c r="T22" s="125"/>
      <c r="U22" s="125"/>
      <c r="V22" s="125"/>
    </row>
    <row r="23" spans="1:22" x14ac:dyDescent="0.35">
      <c r="A23" s="7"/>
      <c r="B23" s="7"/>
      <c r="C23" s="7"/>
      <c r="D23" s="7"/>
      <c r="E23" s="7"/>
      <c r="F23" s="7"/>
      <c r="G23" s="7"/>
      <c r="H23" s="7"/>
      <c r="I23" s="7"/>
      <c r="J23" s="7"/>
      <c r="K23" s="7"/>
      <c r="L23" s="7"/>
      <c r="M23" s="7"/>
      <c r="N23" s="7"/>
      <c r="O23" s="7"/>
      <c r="P23" s="125"/>
      <c r="Q23" s="125"/>
      <c r="R23" s="125"/>
      <c r="S23" s="125"/>
      <c r="T23" s="125"/>
      <c r="U23" s="125"/>
      <c r="V23" s="125"/>
    </row>
    <row r="24" spans="1:22" x14ac:dyDescent="0.35">
      <c r="A24" s="7"/>
      <c r="B24" s="7"/>
      <c r="C24" s="7"/>
      <c r="D24" s="7"/>
      <c r="E24" s="7"/>
      <c r="F24" s="7"/>
      <c r="G24" s="7"/>
      <c r="H24" s="7"/>
      <c r="I24" s="7"/>
      <c r="J24" s="7"/>
      <c r="K24" s="7"/>
      <c r="L24" s="7"/>
      <c r="M24" s="7"/>
      <c r="N24" s="7"/>
      <c r="O24" s="7"/>
      <c r="P24" s="125"/>
      <c r="Q24" s="125"/>
      <c r="R24" s="125"/>
      <c r="S24" s="125"/>
      <c r="T24" s="125"/>
      <c r="U24" s="125"/>
      <c r="V24" s="125"/>
    </row>
    <row r="25" spans="1:22" x14ac:dyDescent="0.35">
      <c r="A25" s="7"/>
      <c r="B25" s="7"/>
      <c r="C25" s="7"/>
      <c r="D25" s="7"/>
      <c r="E25" s="7"/>
      <c r="F25" s="7"/>
      <c r="G25" s="7"/>
      <c r="H25" s="7"/>
      <c r="I25" s="7"/>
      <c r="J25" s="7"/>
      <c r="K25" s="7"/>
      <c r="L25" s="7"/>
      <c r="M25" s="7"/>
      <c r="N25" s="7"/>
      <c r="O25" s="7"/>
      <c r="P25" s="125"/>
      <c r="Q25" s="125"/>
      <c r="R25" s="125"/>
      <c r="S25" s="125"/>
      <c r="T25" s="125"/>
      <c r="U25" s="125"/>
      <c r="V25" s="125"/>
    </row>
    <row r="26" spans="1:22" x14ac:dyDescent="0.35">
      <c r="A26" s="7"/>
      <c r="B26" s="7"/>
      <c r="C26" s="7"/>
      <c r="D26" s="7"/>
      <c r="E26" s="7"/>
      <c r="F26" s="7"/>
      <c r="G26" s="7"/>
      <c r="H26" s="7"/>
      <c r="I26" s="7"/>
      <c r="J26" s="7"/>
      <c r="K26" s="7"/>
      <c r="L26" s="7"/>
      <c r="M26" s="7"/>
      <c r="N26" s="7"/>
      <c r="O26" s="7"/>
      <c r="P26" s="125"/>
      <c r="Q26" s="125"/>
      <c r="R26" s="125"/>
      <c r="S26" s="125"/>
      <c r="T26" s="125"/>
      <c r="U26" s="125"/>
      <c r="V26" s="125"/>
    </row>
    <row r="27" spans="1:22" x14ac:dyDescent="0.35">
      <c r="A27" s="7"/>
      <c r="B27" s="7"/>
      <c r="C27" s="7"/>
      <c r="D27" s="7"/>
      <c r="E27" s="7"/>
      <c r="F27" s="7"/>
      <c r="G27" s="7"/>
      <c r="H27" s="7"/>
      <c r="I27" s="7"/>
      <c r="J27" s="7"/>
      <c r="K27" s="7"/>
      <c r="L27" s="7"/>
      <c r="M27" s="7"/>
      <c r="N27" s="7"/>
      <c r="O27" s="7"/>
      <c r="P27" s="125"/>
      <c r="Q27" s="125"/>
      <c r="R27" s="125"/>
      <c r="S27" s="125"/>
      <c r="T27" s="125"/>
      <c r="U27" s="125"/>
      <c r="V27" s="125"/>
    </row>
    <row r="28" spans="1:22" x14ac:dyDescent="0.35">
      <c r="A28" s="7"/>
      <c r="B28" s="7"/>
      <c r="C28" s="7"/>
      <c r="D28" s="7"/>
      <c r="E28" s="7"/>
      <c r="F28" s="7"/>
      <c r="G28" s="7"/>
      <c r="H28" s="7"/>
      <c r="I28" s="7"/>
      <c r="J28" s="7"/>
      <c r="K28" s="7"/>
      <c r="L28" s="7"/>
      <c r="M28" s="7"/>
      <c r="N28" s="7"/>
      <c r="O28" s="7"/>
      <c r="P28" s="125"/>
      <c r="Q28" s="125"/>
      <c r="R28" s="125"/>
      <c r="S28" s="125"/>
      <c r="T28" s="125"/>
      <c r="U28" s="125"/>
      <c r="V28" s="125"/>
    </row>
    <row r="29" spans="1:22" x14ac:dyDescent="0.35">
      <c r="A29" s="7"/>
      <c r="B29" s="7"/>
      <c r="C29" s="7"/>
      <c r="D29" s="7"/>
      <c r="E29" s="7"/>
      <c r="F29" s="7"/>
      <c r="G29" s="7"/>
      <c r="H29" s="7"/>
      <c r="I29" s="7"/>
      <c r="J29" s="7"/>
      <c r="K29" s="7"/>
      <c r="L29" s="7"/>
      <c r="M29" s="7"/>
      <c r="N29" s="7"/>
      <c r="O29" s="7"/>
      <c r="P29" s="125"/>
      <c r="Q29" s="125"/>
      <c r="R29" s="125"/>
      <c r="S29" s="125"/>
      <c r="T29" s="125"/>
      <c r="U29" s="125"/>
      <c r="V29" s="125"/>
    </row>
    <row r="30" spans="1:22" x14ac:dyDescent="0.35">
      <c r="A30" s="7"/>
      <c r="B30" s="7"/>
      <c r="C30" s="7"/>
      <c r="D30" s="7"/>
      <c r="E30" s="7"/>
      <c r="F30" s="7"/>
      <c r="G30" s="7"/>
      <c r="H30" s="7"/>
      <c r="I30" s="7"/>
      <c r="J30" s="7"/>
      <c r="K30" s="7"/>
      <c r="L30" s="7"/>
      <c r="M30" s="7"/>
      <c r="N30" s="7"/>
      <c r="O30" s="7"/>
      <c r="P30" s="125"/>
      <c r="Q30" s="125"/>
      <c r="R30" s="125"/>
      <c r="S30" s="125"/>
      <c r="T30" s="125"/>
      <c r="U30" s="125"/>
      <c r="V30" s="125"/>
    </row>
    <row r="31" spans="1:22" x14ac:dyDescent="0.35">
      <c r="A31" s="7"/>
      <c r="B31" s="7"/>
      <c r="C31" s="7"/>
      <c r="D31" s="7"/>
      <c r="E31" s="7"/>
      <c r="F31" s="7"/>
      <c r="G31" s="7"/>
      <c r="H31" s="7"/>
      <c r="I31" s="7"/>
      <c r="J31" s="7"/>
      <c r="K31" s="7"/>
      <c r="L31" s="7"/>
      <c r="M31" s="7"/>
      <c r="N31" s="7"/>
      <c r="O31" s="7"/>
      <c r="P31" s="125"/>
      <c r="Q31" s="125"/>
      <c r="R31" s="125"/>
      <c r="S31" s="125"/>
      <c r="T31" s="125"/>
      <c r="U31" s="125"/>
      <c r="V31" s="125"/>
    </row>
    <row r="32" spans="1:22" x14ac:dyDescent="0.35">
      <c r="A32" s="7"/>
      <c r="B32" s="7"/>
      <c r="C32" s="7"/>
      <c r="D32" s="7"/>
      <c r="E32" s="7"/>
      <c r="F32" s="7"/>
      <c r="G32" s="7"/>
      <c r="H32" s="7"/>
      <c r="I32" s="7"/>
      <c r="J32" s="7"/>
      <c r="K32" s="7"/>
      <c r="L32" s="7"/>
      <c r="M32" s="7"/>
      <c r="N32" s="7"/>
      <c r="O32" s="7"/>
      <c r="P32" s="125"/>
      <c r="Q32" s="125"/>
      <c r="R32" s="125"/>
      <c r="S32" s="125"/>
      <c r="T32" s="125"/>
      <c r="U32" s="125"/>
      <c r="V32" s="125"/>
    </row>
    <row r="33" spans="1:22" x14ac:dyDescent="0.35">
      <c r="A33" s="7"/>
      <c r="B33" s="7"/>
      <c r="C33" s="7"/>
      <c r="D33" s="7"/>
      <c r="E33" s="7"/>
      <c r="F33" s="7"/>
      <c r="G33" s="7"/>
      <c r="H33" s="7"/>
      <c r="I33" s="7"/>
      <c r="J33" s="7"/>
      <c r="K33" s="7"/>
      <c r="L33" s="7"/>
      <c r="M33" s="7"/>
      <c r="N33" s="7"/>
      <c r="O33" s="7"/>
      <c r="P33" s="125"/>
      <c r="Q33" s="125"/>
      <c r="R33" s="125"/>
      <c r="S33" s="125"/>
      <c r="T33" s="125"/>
      <c r="U33" s="125"/>
      <c r="V33" s="125"/>
    </row>
    <row r="34" spans="1:22" x14ac:dyDescent="0.35">
      <c r="A34" s="7"/>
      <c r="B34" s="7"/>
      <c r="C34" s="7"/>
      <c r="D34" s="7"/>
      <c r="E34" s="7"/>
      <c r="F34" s="7"/>
      <c r="G34" s="7"/>
      <c r="H34" s="7"/>
      <c r="I34" s="7"/>
      <c r="J34" s="7"/>
      <c r="K34" s="7"/>
      <c r="L34" s="7"/>
      <c r="M34" s="7"/>
      <c r="N34" s="7"/>
      <c r="O34" s="7"/>
      <c r="P34" s="125"/>
      <c r="Q34" s="125"/>
      <c r="R34" s="125"/>
      <c r="S34" s="125"/>
      <c r="T34" s="125"/>
      <c r="U34" s="125"/>
      <c r="V34" s="125"/>
    </row>
    <row r="35" spans="1:22" x14ac:dyDescent="0.35">
      <c r="A35" s="7"/>
      <c r="B35" s="7"/>
      <c r="C35" s="7"/>
      <c r="D35" s="7"/>
      <c r="E35" s="7"/>
      <c r="F35" s="7"/>
      <c r="G35" s="7"/>
      <c r="H35" s="7"/>
      <c r="I35" s="7"/>
      <c r="J35" s="7"/>
      <c r="K35" s="7"/>
      <c r="L35" s="7"/>
      <c r="M35" s="7"/>
      <c r="N35" s="7"/>
      <c r="O35" s="7"/>
      <c r="P35" s="125"/>
      <c r="Q35" s="125"/>
      <c r="R35" s="125"/>
      <c r="S35" s="125"/>
      <c r="T35" s="125"/>
      <c r="U35" s="125"/>
      <c r="V35" s="125"/>
    </row>
    <row r="36" spans="1:22" x14ac:dyDescent="0.35">
      <c r="A36" s="7"/>
      <c r="B36" s="7"/>
      <c r="C36" s="7"/>
      <c r="D36" s="7"/>
      <c r="E36" s="7"/>
      <c r="F36" s="7"/>
      <c r="G36" s="7"/>
      <c r="H36" s="7"/>
      <c r="I36" s="7"/>
      <c r="J36" s="7"/>
      <c r="K36" s="7"/>
      <c r="L36" s="7"/>
      <c r="M36" s="7"/>
      <c r="N36" s="7"/>
      <c r="O36" s="7"/>
      <c r="P36" s="125"/>
      <c r="Q36" s="125"/>
      <c r="R36" s="125"/>
      <c r="S36" s="125"/>
      <c r="T36" s="125"/>
      <c r="U36" s="125"/>
      <c r="V36" s="125"/>
    </row>
    <row r="37" spans="1:22" x14ac:dyDescent="0.35">
      <c r="A37" s="7"/>
      <c r="B37" s="7"/>
      <c r="C37" s="7"/>
      <c r="D37" s="7"/>
      <c r="E37" s="7"/>
      <c r="F37" s="7"/>
      <c r="G37" s="7"/>
      <c r="H37" s="7"/>
      <c r="I37" s="7"/>
      <c r="J37" s="7"/>
      <c r="K37" s="7"/>
      <c r="L37" s="7"/>
      <c r="M37" s="7"/>
      <c r="N37" s="7"/>
      <c r="O37" s="7"/>
      <c r="P37" s="125"/>
      <c r="Q37" s="125"/>
      <c r="R37" s="125"/>
      <c r="S37" s="125"/>
      <c r="T37" s="125"/>
      <c r="U37" s="125"/>
      <c r="V37" s="125"/>
    </row>
    <row r="38" spans="1:22" x14ac:dyDescent="0.35">
      <c r="A38" s="7"/>
      <c r="B38" s="7"/>
      <c r="C38" s="7"/>
      <c r="D38" s="7"/>
      <c r="E38" s="7"/>
      <c r="F38" s="7"/>
      <c r="G38" s="7"/>
      <c r="H38" s="7"/>
      <c r="I38" s="7"/>
      <c r="J38" s="7"/>
      <c r="K38" s="7"/>
      <c r="L38" s="7"/>
      <c r="M38" s="7"/>
      <c r="N38" s="7"/>
      <c r="O38" s="7"/>
      <c r="P38" s="125"/>
      <c r="Q38" s="125"/>
      <c r="R38" s="125"/>
      <c r="S38" s="125"/>
      <c r="T38" s="125"/>
      <c r="U38" s="125"/>
      <c r="V38" s="125"/>
    </row>
    <row r="39" spans="1:22" x14ac:dyDescent="0.35">
      <c r="A39" s="7"/>
      <c r="B39" s="7"/>
      <c r="C39" s="7"/>
      <c r="D39" s="7"/>
      <c r="E39" s="7"/>
      <c r="F39" s="7"/>
      <c r="G39" s="7"/>
      <c r="H39" s="7"/>
      <c r="I39" s="7"/>
      <c r="J39" s="7"/>
      <c r="K39" s="7"/>
      <c r="L39" s="7"/>
      <c r="M39" s="7"/>
      <c r="N39" s="7"/>
      <c r="O39" s="7"/>
      <c r="P39" s="125"/>
      <c r="Q39" s="125"/>
      <c r="R39" s="125"/>
      <c r="S39" s="125"/>
      <c r="T39" s="125"/>
      <c r="U39" s="125"/>
      <c r="V39" s="125"/>
    </row>
    <row r="40" spans="1:22" x14ac:dyDescent="0.35">
      <c r="A40" s="7"/>
      <c r="B40" s="7"/>
      <c r="C40" s="7"/>
      <c r="D40" s="7"/>
      <c r="E40" s="7"/>
      <c r="F40" s="7"/>
      <c r="G40" s="7"/>
      <c r="H40" s="7"/>
      <c r="I40" s="7"/>
      <c r="J40" s="7"/>
      <c r="K40" s="7"/>
      <c r="L40" s="7"/>
      <c r="M40" s="7"/>
      <c r="N40" s="7"/>
      <c r="O40" s="7"/>
      <c r="P40" s="125"/>
      <c r="Q40" s="125"/>
      <c r="R40" s="125"/>
      <c r="S40" s="125"/>
      <c r="T40" s="125"/>
      <c r="U40" s="125"/>
      <c r="V40" s="125"/>
    </row>
    <row r="41" spans="1:22" x14ac:dyDescent="0.35">
      <c r="A41" s="7"/>
      <c r="B41" s="7"/>
      <c r="C41" s="7"/>
      <c r="D41" s="7"/>
      <c r="E41" s="7"/>
      <c r="F41" s="7"/>
      <c r="G41" s="7"/>
      <c r="H41" s="7"/>
      <c r="I41" s="7"/>
      <c r="J41" s="7"/>
      <c r="K41" s="7"/>
      <c r="L41" s="7"/>
      <c r="M41" s="7"/>
      <c r="N41" s="7"/>
      <c r="O41" s="7"/>
      <c r="P41" s="125"/>
      <c r="Q41" s="125"/>
      <c r="R41" s="125"/>
      <c r="S41" s="125"/>
      <c r="T41" s="125"/>
      <c r="U41" s="125"/>
      <c r="V41" s="125"/>
    </row>
    <row r="42" spans="1:22" x14ac:dyDescent="0.35">
      <c r="A42" s="7"/>
      <c r="B42" s="7"/>
      <c r="C42" s="7"/>
      <c r="D42" s="7"/>
      <c r="E42" s="7"/>
      <c r="F42" s="7"/>
      <c r="G42" s="7"/>
      <c r="H42" s="7"/>
      <c r="I42" s="7"/>
      <c r="J42" s="7"/>
      <c r="K42" s="7"/>
      <c r="L42" s="7"/>
      <c r="M42" s="7"/>
      <c r="N42" s="7"/>
      <c r="O42" s="7"/>
      <c r="P42" s="125"/>
      <c r="Q42" s="125"/>
      <c r="R42" s="125"/>
      <c r="S42" s="125"/>
      <c r="T42" s="125"/>
      <c r="U42" s="125"/>
      <c r="V42" s="125"/>
    </row>
  </sheetData>
  <pageMargins left="0.7" right="0.7" top="0.75" bottom="0.75" header="0.3" footer="0.3"/>
  <pageSetup orientation="portrait" r:id="rId1"/>
  <drawing r:id="rId2"/>
  <legacyDrawing r:id="rId3"/>
  <oleObjects>
    <mc:AlternateContent xmlns:mc="http://schemas.openxmlformats.org/markup-compatibility/2006">
      <mc:Choice Requires="x14">
        <oleObject progId="Bitmap Image" shapeId="1025" r:id="rId4">
          <objectPr defaultSize="0" autoPict="0" r:id="rId5">
            <anchor moveWithCells="1">
              <from>
                <xdr:col>5</xdr:col>
                <xdr:colOff>495300</xdr:colOff>
                <xdr:row>1</xdr:row>
                <xdr:rowOff>184150</xdr:rowOff>
              </from>
              <to>
                <xdr:col>10</xdr:col>
                <xdr:colOff>165100</xdr:colOff>
                <xdr:row>15</xdr:row>
                <xdr:rowOff>127000</xdr:rowOff>
              </to>
            </anchor>
          </objectPr>
        </oleObject>
      </mc:Choice>
      <mc:Fallback>
        <oleObject progId="Bitmap Image" shapeId="1025" r:id="rId4"/>
      </mc:Fallback>
    </mc:AlternateContent>
  </oleObjec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rgb="FF00B050"/>
  </sheetPr>
  <dimension ref="A1:AF546"/>
  <sheetViews>
    <sheetView showGridLines="0" tabSelected="1" topLeftCell="A68" zoomScale="85" zoomScaleNormal="85" workbookViewId="0">
      <selection activeCell="B547" sqref="B547"/>
    </sheetView>
  </sheetViews>
  <sheetFormatPr defaultColWidth="11" defaultRowHeight="15.5" x14ac:dyDescent="0.35"/>
  <cols>
    <col min="1" max="1" width="3" customWidth="1"/>
    <col min="2" max="2" width="42.5" customWidth="1"/>
    <col min="3" max="3" width="22.33203125" bestFit="1" customWidth="1"/>
    <col min="4" max="4" width="14.5" customWidth="1"/>
    <col min="5" max="5" width="13" customWidth="1"/>
    <col min="6" max="6" width="15.5" customWidth="1"/>
    <col min="7" max="7" width="13" customWidth="1"/>
    <col min="8" max="8" width="12" bestFit="1" customWidth="1"/>
  </cols>
  <sheetData>
    <row r="1" spans="1:14" s="601" customFormat="1" x14ac:dyDescent="0.35">
      <c r="A1" s="600"/>
    </row>
    <row r="2" spans="1:14" s="601" customFormat="1" ht="93" customHeight="1" x14ac:dyDescent="0.45">
      <c r="B2" s="602" t="s">
        <v>0</v>
      </c>
      <c r="C2" s="603"/>
      <c r="D2" s="604"/>
      <c r="E2" s="604"/>
      <c r="F2" s="604"/>
      <c r="G2" s="604"/>
      <c r="H2" s="604"/>
      <c r="K2" s="600"/>
    </row>
    <row r="3" spans="1:14" x14ac:dyDescent="0.35">
      <c r="A3" s="9"/>
      <c r="B3" s="9" t="s">
        <v>1</v>
      </c>
      <c r="C3" s="856">
        <v>44462</v>
      </c>
      <c r="D3" s="9"/>
      <c r="E3" s="9"/>
      <c r="F3" s="9"/>
      <c r="G3" s="9"/>
      <c r="H3" s="9"/>
      <c r="I3" s="9"/>
      <c r="J3" s="9"/>
      <c r="K3" s="9"/>
      <c r="L3" s="9"/>
    </row>
    <row r="4" spans="1:14" x14ac:dyDescent="0.35">
      <c r="A4" s="9"/>
      <c r="B4" s="150" t="s">
        <v>2</v>
      </c>
      <c r="C4" s="8"/>
      <c r="D4" s="9"/>
      <c r="E4" s="9"/>
      <c r="F4" s="9"/>
      <c r="G4" s="9"/>
      <c r="H4" s="9"/>
      <c r="I4" s="9"/>
      <c r="J4" s="9"/>
      <c r="K4" s="9"/>
      <c r="L4" s="9"/>
    </row>
    <row r="5" spans="1:14" x14ac:dyDescent="0.35">
      <c r="A5" s="9"/>
      <c r="B5" s="915" t="s">
        <v>3</v>
      </c>
      <c r="C5" s="915"/>
      <c r="D5" s="915"/>
      <c r="E5" s="915"/>
      <c r="F5" s="915"/>
      <c r="G5" s="915"/>
      <c r="H5" s="915"/>
      <c r="I5" s="915"/>
      <c r="J5" s="915"/>
      <c r="K5" s="915"/>
      <c r="L5" s="915"/>
      <c r="M5" s="915"/>
      <c r="N5" s="915"/>
    </row>
    <row r="6" spans="1:14" s="601" customFormat="1" ht="17.5" x14ac:dyDescent="0.35">
      <c r="B6" s="649" t="s">
        <v>4</v>
      </c>
    </row>
    <row r="7" spans="1:14" x14ac:dyDescent="0.35">
      <c r="A7" s="9"/>
      <c r="B7" s="731" t="s">
        <v>5</v>
      </c>
      <c r="G7" s="731" t="s">
        <v>6</v>
      </c>
    </row>
    <row r="8" spans="1:14" x14ac:dyDescent="0.35">
      <c r="A8" s="9"/>
      <c r="B8" s="730" t="s">
        <v>7</v>
      </c>
      <c r="C8" s="8"/>
      <c r="D8" s="8"/>
      <c r="E8" s="8"/>
      <c r="F8" s="8"/>
      <c r="G8" s="730" t="s">
        <v>8</v>
      </c>
      <c r="H8" s="8"/>
      <c r="I8" s="8"/>
      <c r="J8" s="8"/>
      <c r="K8" s="8"/>
      <c r="L8" s="8"/>
      <c r="M8" s="8"/>
    </row>
    <row r="9" spans="1:14" x14ac:dyDescent="0.35">
      <c r="B9" s="730" t="s">
        <v>9</v>
      </c>
      <c r="C9" s="1"/>
      <c r="D9" s="1"/>
      <c r="E9" s="1"/>
      <c r="F9" s="1"/>
      <c r="G9" s="730" t="s">
        <v>10</v>
      </c>
      <c r="H9" s="1"/>
      <c r="I9" s="1"/>
      <c r="J9" s="1"/>
      <c r="K9" s="1"/>
    </row>
    <row r="10" spans="1:14" x14ac:dyDescent="0.35">
      <c r="B10" s="730" t="s">
        <v>11</v>
      </c>
      <c r="C10" s="1"/>
      <c r="D10" s="1"/>
      <c r="E10" s="1"/>
      <c r="F10" s="1"/>
      <c r="G10" s="730" t="s">
        <v>12</v>
      </c>
      <c r="H10" s="1"/>
      <c r="I10" s="1"/>
      <c r="J10" s="1"/>
      <c r="K10" s="1"/>
      <c r="L10" s="1"/>
      <c r="M10" s="1"/>
    </row>
    <row r="11" spans="1:14" x14ac:dyDescent="0.35">
      <c r="B11" s="730" t="s">
        <v>13</v>
      </c>
      <c r="C11" s="1"/>
      <c r="D11" s="1"/>
      <c r="E11" s="1"/>
      <c r="F11" s="1"/>
      <c r="G11" s="730" t="s">
        <v>14</v>
      </c>
      <c r="H11" s="1"/>
      <c r="I11" s="1"/>
      <c r="J11" s="1"/>
      <c r="K11" s="1"/>
      <c r="L11" s="1"/>
      <c r="M11" s="1"/>
    </row>
    <row r="12" spans="1:14" x14ac:dyDescent="0.35">
      <c r="B12" s="731" t="s">
        <v>15</v>
      </c>
      <c r="C12" s="1"/>
      <c r="D12" s="1"/>
      <c r="E12" s="1"/>
      <c r="F12" s="1"/>
      <c r="G12" s="730" t="s">
        <v>16</v>
      </c>
      <c r="H12" s="1"/>
      <c r="I12" s="1"/>
      <c r="J12" s="1"/>
      <c r="K12" s="1"/>
      <c r="L12" s="1"/>
      <c r="M12" s="1"/>
    </row>
    <row r="13" spans="1:14" x14ac:dyDescent="0.35">
      <c r="B13" s="730" t="s">
        <v>17</v>
      </c>
      <c r="C13" s="1"/>
      <c r="D13" s="1"/>
      <c r="E13" s="1"/>
      <c r="F13" s="1"/>
      <c r="G13" s="730" t="s">
        <v>18</v>
      </c>
      <c r="H13" s="730"/>
      <c r="I13" s="1"/>
      <c r="J13" s="1"/>
      <c r="K13" s="1"/>
      <c r="L13" s="1"/>
      <c r="M13" s="1"/>
    </row>
    <row r="14" spans="1:14" x14ac:dyDescent="0.35">
      <c r="B14" s="731" t="s">
        <v>19</v>
      </c>
      <c r="C14" s="1"/>
      <c r="D14" s="1"/>
      <c r="E14" s="1"/>
      <c r="F14" s="1"/>
      <c r="G14" s="730" t="s">
        <v>20</v>
      </c>
      <c r="H14" s="1"/>
      <c r="I14" s="1"/>
      <c r="J14" s="1"/>
      <c r="K14" s="1"/>
      <c r="L14" s="1"/>
      <c r="M14" s="1"/>
    </row>
    <row r="15" spans="1:14" x14ac:dyDescent="0.35">
      <c r="B15" s="149" t="s">
        <v>21</v>
      </c>
      <c r="C15" s="1"/>
      <c r="D15" s="1"/>
      <c r="E15" s="1"/>
      <c r="F15" s="1"/>
      <c r="G15" s="731" t="s">
        <v>22</v>
      </c>
      <c r="H15" s="1"/>
      <c r="J15" s="1"/>
      <c r="K15" s="1"/>
      <c r="L15" s="1"/>
      <c r="M15" s="1"/>
    </row>
    <row r="16" spans="1:14" x14ac:dyDescent="0.35">
      <c r="B16" s="149" t="s">
        <v>23</v>
      </c>
      <c r="C16" s="1"/>
      <c r="D16" s="1"/>
      <c r="E16" s="1"/>
      <c r="F16" s="1"/>
      <c r="G16" s="730" t="s">
        <v>24</v>
      </c>
      <c r="H16" s="1"/>
      <c r="J16" s="1"/>
      <c r="K16" s="1"/>
      <c r="L16" s="1"/>
      <c r="M16" s="1"/>
    </row>
    <row r="17" spans="2:12" x14ac:dyDescent="0.35">
      <c r="B17" s="730" t="s">
        <v>25</v>
      </c>
      <c r="G17" s="730" t="s">
        <v>26</v>
      </c>
    </row>
    <row r="18" spans="2:12" x14ac:dyDescent="0.35">
      <c r="B18" s="731" t="s">
        <v>27</v>
      </c>
      <c r="G18" s="730" t="s">
        <v>28</v>
      </c>
    </row>
    <row r="19" spans="2:12" x14ac:dyDescent="0.35">
      <c r="B19" s="730" t="s">
        <v>29</v>
      </c>
      <c r="G19" s="730" t="s">
        <v>30</v>
      </c>
    </row>
    <row r="20" spans="2:12" x14ac:dyDescent="0.35">
      <c r="B20" s="730" t="s">
        <v>31</v>
      </c>
      <c r="G20" s="731" t="s">
        <v>32</v>
      </c>
    </row>
    <row r="21" spans="2:12" x14ac:dyDescent="0.35">
      <c r="B21" s="730" t="s">
        <v>33</v>
      </c>
      <c r="G21" s="730" t="s">
        <v>34</v>
      </c>
    </row>
    <row r="22" spans="2:12" x14ac:dyDescent="0.35">
      <c r="B22" s="730" t="s">
        <v>35</v>
      </c>
      <c r="G22" s="730" t="s">
        <v>36</v>
      </c>
    </row>
    <row r="23" spans="2:12" x14ac:dyDescent="0.35">
      <c r="G23" s="730" t="s">
        <v>37</v>
      </c>
    </row>
    <row r="24" spans="2:12" x14ac:dyDescent="0.35">
      <c r="B24" s="149"/>
      <c r="G24" s="731" t="s">
        <v>38</v>
      </c>
    </row>
    <row r="25" spans="2:12" x14ac:dyDescent="0.35">
      <c r="G25" s="731" t="s">
        <v>39</v>
      </c>
    </row>
    <row r="26" spans="2:12" x14ac:dyDescent="0.35">
      <c r="G26" s="731"/>
    </row>
    <row r="27" spans="2:12" s="650" customFormat="1" ht="17.5" x14ac:dyDescent="0.45">
      <c r="B27" s="651" t="s">
        <v>40</v>
      </c>
      <c r="C27" s="652"/>
      <c r="D27" s="653"/>
      <c r="E27" s="653"/>
      <c r="F27" s="653"/>
      <c r="G27" s="653"/>
      <c r="H27" s="653"/>
      <c r="I27" s="653"/>
      <c r="J27" s="654"/>
      <c r="K27" s="654"/>
    </row>
    <row r="28" spans="2:12" ht="6" customHeight="1" x14ac:dyDescent="0.45">
      <c r="B28" s="19"/>
      <c r="C28" s="19"/>
      <c r="D28" s="20"/>
      <c r="E28" s="20"/>
      <c r="F28" s="20"/>
      <c r="G28" s="20"/>
      <c r="H28" s="20"/>
      <c r="I28" s="20"/>
      <c r="J28" s="1"/>
      <c r="K28" s="1"/>
    </row>
    <row r="29" spans="2:12" s="650" customFormat="1" ht="17.5" x14ac:dyDescent="0.45">
      <c r="B29" s="655" t="s">
        <v>41</v>
      </c>
      <c r="C29" s="655"/>
      <c r="D29" s="653"/>
      <c r="E29" s="653"/>
      <c r="F29" s="653"/>
      <c r="G29" s="653"/>
      <c r="H29" s="653"/>
      <c r="I29" s="653"/>
      <c r="J29" s="653"/>
      <c r="K29" s="653"/>
      <c r="L29" s="656"/>
    </row>
    <row r="30" spans="2:12" ht="16" thickBot="1" x14ac:dyDescent="0.4"/>
    <row r="31" spans="2:12" ht="32" x14ac:dyDescent="0.35">
      <c r="B31" s="876" t="s">
        <v>42</v>
      </c>
      <c r="C31" s="876" t="s">
        <v>43</v>
      </c>
      <c r="D31" s="876" t="s">
        <v>44</v>
      </c>
      <c r="E31" s="876" t="s">
        <v>45</v>
      </c>
      <c r="F31" s="876" t="s">
        <v>46</v>
      </c>
      <c r="G31" s="876" t="s">
        <v>47</v>
      </c>
      <c r="H31" s="876" t="s">
        <v>48</v>
      </c>
      <c r="I31" s="876" t="s">
        <v>49</v>
      </c>
      <c r="J31" s="876" t="s">
        <v>50</v>
      </c>
    </row>
    <row r="32" spans="2:12" ht="16" x14ac:dyDescent="0.35">
      <c r="B32" s="22" t="s">
        <v>51</v>
      </c>
      <c r="C32" s="344">
        <v>1685564</v>
      </c>
      <c r="D32" s="344">
        <v>1566937</v>
      </c>
      <c r="E32" s="344">
        <v>1552330</v>
      </c>
      <c r="F32" s="344">
        <v>1552330</v>
      </c>
      <c r="G32" s="23">
        <v>1513415</v>
      </c>
      <c r="H32" s="23">
        <v>1513415</v>
      </c>
      <c r="I32" s="23">
        <v>1415860</v>
      </c>
      <c r="J32" s="23">
        <v>1440576</v>
      </c>
    </row>
    <row r="33" spans="2:13" ht="16" x14ac:dyDescent="0.35">
      <c r="B33" s="22" t="s">
        <v>52</v>
      </c>
      <c r="C33" s="344">
        <v>1322489</v>
      </c>
      <c r="D33" s="344">
        <v>1390865</v>
      </c>
      <c r="E33" s="344">
        <v>1473414</v>
      </c>
      <c r="F33" s="344">
        <v>1473414</v>
      </c>
      <c r="G33" s="23">
        <v>1401240</v>
      </c>
      <c r="H33" s="23">
        <v>1401240</v>
      </c>
      <c r="I33" s="23">
        <v>1114910.2844192286</v>
      </c>
      <c r="J33" s="23">
        <v>1124245</v>
      </c>
    </row>
    <row r="34" spans="2:13" ht="16" x14ac:dyDescent="0.35">
      <c r="B34" s="22" t="s">
        <v>53</v>
      </c>
      <c r="C34" s="344">
        <v>140192</v>
      </c>
      <c r="D34" s="344">
        <v>135442</v>
      </c>
      <c r="E34" s="344">
        <v>141587</v>
      </c>
      <c r="F34" s="344">
        <v>141587</v>
      </c>
      <c r="G34" s="23">
        <v>143227</v>
      </c>
      <c r="H34" s="23">
        <v>143227</v>
      </c>
      <c r="I34" s="23">
        <v>161399</v>
      </c>
      <c r="J34" s="23">
        <v>181302</v>
      </c>
    </row>
    <row r="35" spans="2:13" ht="16.5" thickBot="1" x14ac:dyDescent="0.4">
      <c r="B35" s="24" t="s">
        <v>54</v>
      </c>
      <c r="C35" s="742">
        <f>SUM(C32:C34)</f>
        <v>3148245</v>
      </c>
      <c r="D35" s="345">
        <v>3093244</v>
      </c>
      <c r="E35" s="345">
        <f>SUM(E32:E34)</f>
        <v>3167331</v>
      </c>
      <c r="F35" s="345">
        <f>SUM(F32:F34)</f>
        <v>3167331</v>
      </c>
      <c r="G35" s="26">
        <f>SUM(G32:G34)</f>
        <v>3057882</v>
      </c>
      <c r="H35" s="26">
        <f>SUM(H32:H34)</f>
        <v>3057882</v>
      </c>
      <c r="I35" s="26">
        <f>SUM(I32:I34)</f>
        <v>2692169.2844192283</v>
      </c>
      <c r="J35" s="26">
        <v>2746123</v>
      </c>
    </row>
    <row r="36" spans="2:13" ht="17.5" x14ac:dyDescent="0.45">
      <c r="B36" s="19"/>
      <c r="C36" s="27"/>
      <c r="D36" s="20"/>
      <c r="E36" s="20"/>
      <c r="F36" s="20"/>
      <c r="G36" s="20"/>
      <c r="H36" s="20"/>
      <c r="I36" s="20"/>
      <c r="J36" s="1"/>
      <c r="K36" s="1"/>
    </row>
    <row r="37" spans="2:13" s="601" customFormat="1" ht="17.5" x14ac:dyDescent="0.45">
      <c r="B37" s="657" t="s">
        <v>55</v>
      </c>
      <c r="C37" s="657"/>
      <c r="D37" s="604"/>
      <c r="E37" s="604"/>
      <c r="F37" s="604"/>
      <c r="G37" s="604"/>
      <c r="H37" s="604"/>
      <c r="I37" s="604"/>
      <c r="J37" s="604"/>
      <c r="K37" s="604"/>
      <c r="L37" s="658"/>
    </row>
    <row r="38" spans="2:13" ht="6" customHeight="1" thickBot="1" x14ac:dyDescent="0.5">
      <c r="B38" s="19"/>
      <c r="C38" s="19"/>
      <c r="D38" s="20"/>
      <c r="E38" s="10"/>
      <c r="F38" s="20"/>
      <c r="G38" s="20"/>
      <c r="H38" s="20"/>
      <c r="I38" s="20"/>
      <c r="J38" s="20"/>
      <c r="K38" s="20"/>
      <c r="L38" s="10"/>
    </row>
    <row r="39" spans="2:13" ht="32.5" thickBot="1" x14ac:dyDescent="0.5">
      <c r="B39" s="876" t="s">
        <v>56</v>
      </c>
      <c r="C39" s="876" t="s">
        <v>57</v>
      </c>
      <c r="D39" s="876" t="s">
        <v>58</v>
      </c>
      <c r="E39" s="876" t="s">
        <v>59</v>
      </c>
      <c r="F39" s="876" t="s">
        <v>60</v>
      </c>
      <c r="G39" s="11"/>
      <c r="H39" s="11"/>
      <c r="I39" s="11"/>
      <c r="J39" s="20"/>
      <c r="K39" s="20"/>
      <c r="L39" s="20"/>
      <c r="M39" s="1"/>
    </row>
    <row r="40" spans="2:13" ht="17.5" x14ac:dyDescent="0.45">
      <c r="B40" s="548" t="s">
        <v>43</v>
      </c>
      <c r="C40" s="549" t="s">
        <v>54</v>
      </c>
      <c r="D40" s="346">
        <v>0.68600000000000005</v>
      </c>
      <c r="E40" s="346">
        <v>1</v>
      </c>
      <c r="F40" s="347">
        <v>0</v>
      </c>
      <c r="G40" s="11"/>
      <c r="H40" s="11"/>
      <c r="I40" s="11"/>
      <c r="J40" s="20"/>
      <c r="K40" s="20"/>
      <c r="L40" s="20"/>
      <c r="M40" s="1"/>
    </row>
    <row r="41" spans="2:13" ht="17.5" x14ac:dyDescent="0.45">
      <c r="B41" s="550"/>
      <c r="C41" s="551" t="s">
        <v>51</v>
      </c>
      <c r="D41" s="348">
        <v>0.9</v>
      </c>
      <c r="E41" s="348">
        <v>1</v>
      </c>
      <c r="F41" s="349">
        <v>0</v>
      </c>
      <c r="G41" s="11"/>
      <c r="H41" s="11"/>
      <c r="I41" s="11"/>
      <c r="J41" s="20"/>
      <c r="K41" s="20"/>
      <c r="L41" s="20"/>
      <c r="M41" s="1"/>
    </row>
    <row r="42" spans="2:13" ht="17.5" x14ac:dyDescent="0.45">
      <c r="B42" s="550"/>
      <c r="C42" s="551" t="s">
        <v>52</v>
      </c>
      <c r="D42" s="348">
        <v>1.8460000000000001</v>
      </c>
      <c r="E42" s="348">
        <v>1</v>
      </c>
      <c r="F42" s="349">
        <v>0</v>
      </c>
      <c r="G42" s="11"/>
      <c r="H42" s="11"/>
      <c r="I42" s="11"/>
      <c r="J42" s="20"/>
      <c r="K42" s="20"/>
      <c r="L42" s="20"/>
      <c r="M42" s="1"/>
    </row>
    <row r="43" spans="2:13" ht="17.5" x14ac:dyDescent="0.45">
      <c r="B43" s="552"/>
      <c r="C43" s="553" t="s">
        <v>53</v>
      </c>
      <c r="D43" s="350">
        <v>0.98299999999999998</v>
      </c>
      <c r="E43" s="350">
        <v>1</v>
      </c>
      <c r="F43" s="351">
        <v>0</v>
      </c>
      <c r="G43" s="11"/>
      <c r="H43" s="11"/>
      <c r="I43" s="11"/>
      <c r="J43" s="20"/>
      <c r="K43" s="20"/>
      <c r="L43" s="20"/>
      <c r="M43" s="1"/>
    </row>
    <row r="44" spans="2:13" ht="17.5" x14ac:dyDescent="0.45">
      <c r="B44" s="548" t="s">
        <v>44</v>
      </c>
      <c r="C44" s="549" t="s">
        <v>54</v>
      </c>
      <c r="D44" s="346">
        <v>0.62660000000000005</v>
      </c>
      <c r="E44" s="346">
        <v>1</v>
      </c>
      <c r="F44" s="347">
        <v>0</v>
      </c>
      <c r="G44" s="557"/>
      <c r="H44" s="11"/>
      <c r="I44" s="11"/>
      <c r="J44" s="20"/>
      <c r="K44" s="20"/>
      <c r="L44" s="20"/>
      <c r="M44" s="1"/>
    </row>
    <row r="45" spans="2:13" ht="17.5" x14ac:dyDescent="0.45">
      <c r="B45" s="550"/>
      <c r="C45" s="551" t="s">
        <v>51</v>
      </c>
      <c r="D45" s="348">
        <v>0.2908</v>
      </c>
      <c r="E45" s="348">
        <v>1</v>
      </c>
      <c r="F45" s="349">
        <v>0</v>
      </c>
      <c r="G45" s="558"/>
      <c r="H45" s="11"/>
      <c r="I45" s="11"/>
      <c r="J45" s="20"/>
      <c r="K45" s="20"/>
      <c r="L45" s="20"/>
      <c r="M45" s="1"/>
    </row>
    <row r="46" spans="2:13" ht="17.5" x14ac:dyDescent="0.45">
      <c r="B46" s="550"/>
      <c r="C46" s="551" t="s">
        <v>52</v>
      </c>
      <c r="D46" s="348">
        <v>0.97189999999999999</v>
      </c>
      <c r="E46" s="348">
        <v>1</v>
      </c>
      <c r="F46" s="349">
        <v>0</v>
      </c>
      <c r="G46" s="558"/>
      <c r="H46" s="11"/>
      <c r="I46" s="11"/>
      <c r="J46" s="20"/>
      <c r="K46" s="20"/>
      <c r="L46" s="20"/>
      <c r="M46" s="1"/>
    </row>
    <row r="47" spans="2:13" ht="18" thickBot="1" x14ac:dyDescent="0.5">
      <c r="B47" s="552"/>
      <c r="C47" s="553" t="s">
        <v>53</v>
      </c>
      <c r="D47" s="350">
        <v>0.96530000000000005</v>
      </c>
      <c r="E47" s="350">
        <v>1</v>
      </c>
      <c r="F47" s="351">
        <v>0</v>
      </c>
      <c r="G47" s="558"/>
      <c r="H47" s="559"/>
      <c r="I47" s="11"/>
      <c r="J47" s="20"/>
      <c r="K47" s="20"/>
      <c r="L47" s="20"/>
      <c r="M47" s="1"/>
    </row>
    <row r="48" spans="2:13" ht="17.5" x14ac:dyDescent="0.45">
      <c r="B48" s="155" t="s">
        <v>61</v>
      </c>
      <c r="C48" s="156" t="s">
        <v>54</v>
      </c>
      <c r="D48" s="346">
        <v>0.62270000000000003</v>
      </c>
      <c r="E48" s="346">
        <v>0.99719999999999998</v>
      </c>
      <c r="F48" s="347">
        <v>2.8E-3</v>
      </c>
      <c r="G48" s="873"/>
      <c r="H48" s="873"/>
      <c r="I48" s="20"/>
      <c r="J48" s="20"/>
      <c r="K48" s="20"/>
      <c r="L48" s="20"/>
    </row>
    <row r="49" spans="2:13" ht="17.5" x14ac:dyDescent="0.45">
      <c r="B49" s="157" t="s">
        <v>62</v>
      </c>
      <c r="C49" s="22" t="s">
        <v>51</v>
      </c>
      <c r="D49" s="348">
        <v>0.26469999999999999</v>
      </c>
      <c r="E49" s="348">
        <v>0.997</v>
      </c>
      <c r="F49" s="349">
        <v>3.0000000000000001E-3</v>
      </c>
      <c r="G49" s="10"/>
      <c r="H49" s="10"/>
      <c r="I49" s="10"/>
      <c r="J49" s="20"/>
      <c r="K49" s="20"/>
      <c r="L49" s="20"/>
      <c r="M49" s="1"/>
    </row>
    <row r="50" spans="2:13" ht="17.5" x14ac:dyDescent="0.45">
      <c r="B50" s="157"/>
      <c r="C50" s="22" t="s">
        <v>52</v>
      </c>
      <c r="D50" s="348">
        <v>0.96719999999999995</v>
      </c>
      <c r="E50" s="348">
        <v>0.99709999999999999</v>
      </c>
      <c r="F50" s="349">
        <v>2.8999999999999998E-3</v>
      </c>
      <c r="G50" s="10"/>
      <c r="H50" s="10"/>
      <c r="I50" s="10"/>
      <c r="J50" s="20"/>
      <c r="K50" s="20"/>
      <c r="L50" s="20"/>
      <c r="M50" s="1"/>
    </row>
    <row r="51" spans="2:13" ht="18" thickBot="1" x14ac:dyDescent="0.5">
      <c r="B51" s="158"/>
      <c r="C51" s="159" t="s">
        <v>53</v>
      </c>
      <c r="D51" s="350">
        <v>0.96130000000000004</v>
      </c>
      <c r="E51" s="350">
        <v>1</v>
      </c>
      <c r="F51" s="351">
        <v>0</v>
      </c>
      <c r="G51" s="10"/>
      <c r="H51" s="10"/>
      <c r="I51" s="10"/>
      <c r="J51" s="20"/>
      <c r="K51" s="20"/>
      <c r="L51" s="20"/>
      <c r="M51" s="1"/>
    </row>
    <row r="52" spans="2:13" ht="17.5" x14ac:dyDescent="0.45">
      <c r="B52" s="155" t="s">
        <v>61</v>
      </c>
      <c r="C52" s="156" t="s">
        <v>54</v>
      </c>
      <c r="D52" s="346">
        <v>0.62270000000000003</v>
      </c>
      <c r="E52" s="346">
        <v>0.99719999999999998</v>
      </c>
      <c r="F52" s="347">
        <v>2.8E-3</v>
      </c>
      <c r="G52" s="873"/>
      <c r="H52" s="873"/>
      <c r="I52" s="20"/>
      <c r="J52" s="20"/>
      <c r="K52" s="20"/>
      <c r="L52" s="20"/>
    </row>
    <row r="53" spans="2:13" ht="17.5" x14ac:dyDescent="0.45">
      <c r="B53" s="157" t="s">
        <v>63</v>
      </c>
      <c r="C53" s="22" t="s">
        <v>51</v>
      </c>
      <c r="D53" s="348">
        <v>0.26469999999999999</v>
      </c>
      <c r="E53" s="348">
        <v>0.997</v>
      </c>
      <c r="F53" s="349">
        <v>3.0000000000000001E-3</v>
      </c>
      <c r="G53" s="10"/>
      <c r="H53" s="10"/>
      <c r="I53" s="10"/>
      <c r="J53" s="20"/>
      <c r="K53" s="20"/>
      <c r="L53" s="20"/>
      <c r="M53" s="1"/>
    </row>
    <row r="54" spans="2:13" ht="17.5" x14ac:dyDescent="0.45">
      <c r="B54" s="157"/>
      <c r="C54" s="22" t="s">
        <v>52</v>
      </c>
      <c r="D54" s="348">
        <v>0.96719999999999995</v>
      </c>
      <c r="E54" s="348">
        <v>0.99709999999999999</v>
      </c>
      <c r="F54" s="349">
        <v>2.8999999999999998E-3</v>
      </c>
      <c r="G54" s="10"/>
      <c r="H54" s="10"/>
      <c r="I54" s="10"/>
      <c r="J54" s="20"/>
      <c r="K54" s="20"/>
      <c r="L54" s="20"/>
      <c r="M54" s="1"/>
    </row>
    <row r="55" spans="2:13" ht="18" thickBot="1" x14ac:dyDescent="0.5">
      <c r="B55" s="158"/>
      <c r="C55" s="159" t="s">
        <v>53</v>
      </c>
      <c r="D55" s="350">
        <v>0.96130000000000004</v>
      </c>
      <c r="E55" s="350">
        <v>1</v>
      </c>
      <c r="F55" s="351">
        <v>0</v>
      </c>
      <c r="G55" s="10"/>
      <c r="H55" s="10"/>
      <c r="I55" s="10"/>
      <c r="J55" s="20"/>
      <c r="K55" s="20"/>
      <c r="L55" s="20"/>
      <c r="M55" s="1"/>
    </row>
    <row r="56" spans="2:13" ht="17.5" x14ac:dyDescent="0.45">
      <c r="B56" s="399" t="s">
        <v>47</v>
      </c>
      <c r="C56" s="306" t="s">
        <v>54</v>
      </c>
      <c r="D56" s="400">
        <v>0.66100000000000003</v>
      </c>
      <c r="E56" s="400">
        <v>0.99399999999999999</v>
      </c>
      <c r="F56" s="401">
        <v>1.2E-2</v>
      </c>
      <c r="G56" s="10"/>
      <c r="H56" s="10"/>
      <c r="I56" s="10"/>
      <c r="J56" s="20"/>
      <c r="K56" s="20"/>
      <c r="L56" s="20"/>
      <c r="M56" s="1"/>
    </row>
    <row r="57" spans="2:13" ht="17.5" x14ac:dyDescent="0.45">
      <c r="B57" s="165"/>
      <c r="C57" s="183" t="s">
        <v>51</v>
      </c>
      <c r="D57" s="35">
        <v>0.34300000000000003</v>
      </c>
      <c r="E57" s="35">
        <v>0.99</v>
      </c>
      <c r="F57" s="402">
        <v>0.01</v>
      </c>
      <c r="G57" s="10"/>
      <c r="H57" s="10"/>
      <c r="I57" s="10"/>
      <c r="J57" s="20"/>
      <c r="K57" s="20"/>
      <c r="L57" s="20"/>
      <c r="M57" s="1"/>
    </row>
    <row r="58" spans="2:13" ht="17.5" x14ac:dyDescent="0.45">
      <c r="B58" s="165"/>
      <c r="C58" s="183" t="s">
        <v>52</v>
      </c>
      <c r="D58" s="35">
        <v>0.97399999999999998</v>
      </c>
      <c r="E58" s="35">
        <v>0.998</v>
      </c>
      <c r="F58" s="402">
        <v>2E-3</v>
      </c>
      <c r="G58" s="10"/>
      <c r="H58" s="10"/>
      <c r="I58" s="10"/>
      <c r="J58" s="20"/>
      <c r="K58" s="20"/>
      <c r="L58" s="20"/>
      <c r="M58" s="1"/>
    </row>
    <row r="59" spans="2:13" ht="18" thickBot="1" x14ac:dyDescent="0.5">
      <c r="B59" s="276"/>
      <c r="C59" s="403" t="s">
        <v>53</v>
      </c>
      <c r="D59" s="404">
        <v>0.96399999999999997</v>
      </c>
      <c r="E59" s="404">
        <v>1</v>
      </c>
      <c r="F59" s="405">
        <v>0</v>
      </c>
      <c r="G59" s="10"/>
      <c r="H59" s="10"/>
      <c r="I59" s="10"/>
      <c r="J59" s="20"/>
      <c r="K59" s="20"/>
      <c r="L59" s="20"/>
      <c r="M59" s="1"/>
    </row>
    <row r="60" spans="2:13" ht="17.5" x14ac:dyDescent="0.45">
      <c r="B60" s="30" t="s">
        <v>48</v>
      </c>
      <c r="C60" s="31" t="s">
        <v>54</v>
      </c>
      <c r="D60" s="39">
        <v>0.66100000000000003</v>
      </c>
      <c r="E60" s="39">
        <v>0.99399999999999999</v>
      </c>
      <c r="F60" s="39">
        <v>1.2E-2</v>
      </c>
      <c r="G60" s="873"/>
      <c r="H60" s="873"/>
      <c r="I60" s="20"/>
      <c r="J60" s="20"/>
      <c r="K60" s="20"/>
      <c r="L60" s="20"/>
    </row>
    <row r="61" spans="2:13" ht="17.5" x14ac:dyDescent="0.45">
      <c r="B61" s="31"/>
      <c r="C61" s="22" t="s">
        <v>51</v>
      </c>
      <c r="D61" s="35">
        <v>0.34300000000000003</v>
      </c>
      <c r="E61" s="35">
        <v>0.99</v>
      </c>
      <c r="F61" s="35">
        <v>0.01</v>
      </c>
      <c r="G61" s="10"/>
      <c r="H61" s="10"/>
      <c r="I61" s="10"/>
      <c r="J61" s="20"/>
      <c r="K61" s="20"/>
      <c r="L61" s="20"/>
      <c r="M61" s="1"/>
    </row>
    <row r="62" spans="2:13" ht="17.5" x14ac:dyDescent="0.45">
      <c r="B62" s="31"/>
      <c r="C62" s="22" t="s">
        <v>52</v>
      </c>
      <c r="D62" s="35">
        <v>0.97399999999999998</v>
      </c>
      <c r="E62" s="35">
        <v>0.998</v>
      </c>
      <c r="F62" s="35">
        <v>2E-3</v>
      </c>
      <c r="G62" s="10"/>
      <c r="H62" s="10"/>
      <c r="I62" s="10"/>
      <c r="J62" s="20"/>
      <c r="K62" s="20"/>
      <c r="L62" s="20"/>
      <c r="M62" s="1"/>
    </row>
    <row r="63" spans="2:13" ht="18" thickBot="1" x14ac:dyDescent="0.5">
      <c r="B63" s="22"/>
      <c r="C63" s="32" t="s">
        <v>53</v>
      </c>
      <c r="D63" s="35">
        <v>0.96399999999999997</v>
      </c>
      <c r="E63" s="35">
        <v>1</v>
      </c>
      <c r="F63" s="35">
        <v>0</v>
      </c>
      <c r="G63" s="10"/>
      <c r="H63" s="10"/>
      <c r="I63" s="10"/>
      <c r="J63" s="20"/>
      <c r="K63" s="20"/>
      <c r="L63" s="20"/>
      <c r="M63" s="1"/>
    </row>
    <row r="64" spans="2:13" ht="17.5" x14ac:dyDescent="0.45">
      <c r="B64" s="33" t="s">
        <v>49</v>
      </c>
      <c r="C64" s="33" t="s">
        <v>54</v>
      </c>
      <c r="D64" s="34">
        <v>0.56999999999999995</v>
      </c>
      <c r="E64" s="34">
        <v>0.42</v>
      </c>
      <c r="F64" s="34">
        <v>0.01</v>
      </c>
      <c r="G64" s="873"/>
      <c r="H64" s="873"/>
      <c r="I64" s="20"/>
      <c r="J64" s="20"/>
      <c r="K64" s="20"/>
      <c r="L64" s="20"/>
    </row>
    <row r="65" spans="2:13" ht="17.5" x14ac:dyDescent="0.45">
      <c r="B65" s="31"/>
      <c r="C65" s="22" t="s">
        <v>51</v>
      </c>
      <c r="D65" s="35">
        <v>0.21</v>
      </c>
      <c r="E65" s="35">
        <v>0.79</v>
      </c>
      <c r="F65" s="35">
        <v>0.01</v>
      </c>
      <c r="G65" s="10"/>
      <c r="H65" s="10"/>
      <c r="I65" s="10"/>
      <c r="J65" s="20"/>
      <c r="K65" s="20"/>
      <c r="L65" s="20"/>
      <c r="M65" s="1"/>
    </row>
    <row r="66" spans="2:13" ht="17.5" x14ac:dyDescent="0.45">
      <c r="B66" s="31"/>
      <c r="C66" s="22" t="s">
        <v>52</v>
      </c>
      <c r="D66" s="35">
        <v>0.97</v>
      </c>
      <c r="E66" s="35">
        <v>0.02</v>
      </c>
      <c r="F66" s="35">
        <v>0</v>
      </c>
      <c r="G66" s="10"/>
      <c r="H66" s="10"/>
      <c r="I66" s="10"/>
      <c r="J66" s="20"/>
      <c r="K66" s="20"/>
      <c r="L66" s="20"/>
      <c r="M66" s="1"/>
    </row>
    <row r="67" spans="2:13" ht="18" thickBot="1" x14ac:dyDescent="0.5">
      <c r="B67" s="36"/>
      <c r="C67" s="37" t="s">
        <v>53</v>
      </c>
      <c r="D67" s="38">
        <v>0.92</v>
      </c>
      <c r="E67" s="38">
        <v>0</v>
      </c>
      <c r="F67" s="38">
        <v>0.08</v>
      </c>
      <c r="G67" s="10"/>
      <c r="H67" s="10"/>
      <c r="I67" s="10"/>
      <c r="J67" s="20"/>
      <c r="K67" s="20"/>
      <c r="L67" s="20"/>
      <c r="M67" s="1"/>
    </row>
    <row r="68" spans="2:13" ht="17.5" x14ac:dyDescent="0.45">
      <c r="B68" s="31" t="s">
        <v>50</v>
      </c>
      <c r="C68" s="31" t="s">
        <v>54</v>
      </c>
      <c r="D68" s="39">
        <f>D104/J35</f>
        <v>0.48551430507664806</v>
      </c>
      <c r="E68" s="39">
        <f>E104/J35</f>
        <v>0.48754953802142148</v>
      </c>
      <c r="F68" s="39">
        <f>F104/J35</f>
        <v>2.6936156901930467E-2</v>
      </c>
      <c r="G68" s="873"/>
      <c r="H68" s="873"/>
      <c r="I68" s="20"/>
      <c r="J68" s="20"/>
      <c r="K68" s="20"/>
      <c r="L68" s="20"/>
    </row>
    <row r="69" spans="2:13" ht="17.5" x14ac:dyDescent="0.45">
      <c r="B69" s="31"/>
      <c r="C69" s="22" t="s">
        <v>51</v>
      </c>
      <c r="D69" s="35">
        <f>D105/J32</f>
        <v>8.4348205162379494E-2</v>
      </c>
      <c r="E69" s="35">
        <f>E105/J32</f>
        <v>0.89514680239015509</v>
      </c>
      <c r="F69" s="35">
        <f>F105/J32</f>
        <v>2.0504992447465457E-2</v>
      </c>
      <c r="G69" s="10"/>
      <c r="H69" s="10"/>
      <c r="I69" s="10"/>
      <c r="J69" s="20"/>
      <c r="K69" s="20"/>
      <c r="L69" s="20"/>
      <c r="M69" s="1"/>
    </row>
    <row r="70" spans="2:13" ht="17.5" x14ac:dyDescent="0.45">
      <c r="B70" s="31"/>
      <c r="C70" s="22" t="s">
        <v>52</v>
      </c>
      <c r="D70" s="35">
        <f>D106/J33</f>
        <v>0.96575479544049558</v>
      </c>
      <c r="E70" s="35">
        <f>E106/J33</f>
        <v>3.2468901351573723E-2</v>
      </c>
      <c r="F70" s="35">
        <f>F106/J33</f>
        <v>1.7763032079306557E-3</v>
      </c>
      <c r="G70" s="10"/>
      <c r="H70" s="10"/>
      <c r="I70" s="10"/>
      <c r="J70" s="20"/>
      <c r="K70" s="20"/>
      <c r="L70" s="20"/>
      <c r="M70" s="1"/>
    </row>
    <row r="71" spans="2:13" ht="18" thickBot="1" x14ac:dyDescent="0.5">
      <c r="B71" s="36"/>
      <c r="C71" s="37" t="s">
        <v>53</v>
      </c>
      <c r="D71" s="38">
        <f>D107/J34</f>
        <v>0.69512195121951215</v>
      </c>
      <c r="E71" s="38">
        <f>E107/J34</f>
        <v>7.0826576651112513E-2</v>
      </c>
      <c r="F71" s="38">
        <f>F107/J34</f>
        <v>0.2340514721293753</v>
      </c>
      <c r="G71" s="10"/>
      <c r="H71" s="10"/>
      <c r="I71" s="10"/>
      <c r="J71" s="20"/>
      <c r="K71" s="20"/>
      <c r="L71" s="20"/>
      <c r="M71" s="1"/>
    </row>
    <row r="72" spans="2:13" ht="17.5" x14ac:dyDescent="0.45">
      <c r="B72" s="10"/>
      <c r="C72" s="10"/>
      <c r="D72" s="10"/>
      <c r="E72" s="10"/>
      <c r="F72" s="10"/>
      <c r="G72" s="41"/>
      <c r="H72" s="41"/>
      <c r="I72" s="41"/>
      <c r="J72" s="40"/>
      <c r="K72" s="20"/>
      <c r="L72" s="20"/>
      <c r="M72" s="1"/>
    </row>
    <row r="73" spans="2:13" s="601" customFormat="1" ht="17.5" x14ac:dyDescent="0.45">
      <c r="B73" s="657" t="s">
        <v>64</v>
      </c>
      <c r="C73" s="657"/>
      <c r="D73" s="604"/>
      <c r="E73" s="604"/>
      <c r="F73" s="604"/>
      <c r="G73" s="604"/>
      <c r="H73" s="604"/>
      <c r="I73" s="604"/>
      <c r="J73" s="604"/>
      <c r="K73" s="604"/>
      <c r="L73" s="658"/>
    </row>
    <row r="74" spans="2:13" ht="6" customHeight="1" thickBot="1" x14ac:dyDescent="0.5">
      <c r="B74" s="19"/>
      <c r="C74" s="19"/>
      <c r="D74" s="20"/>
      <c r="E74" s="10"/>
      <c r="F74" s="20"/>
      <c r="G74" s="20"/>
      <c r="H74" s="20"/>
      <c r="I74" s="20"/>
      <c r="J74" s="20"/>
      <c r="K74" s="20"/>
      <c r="L74" s="10"/>
    </row>
    <row r="75" spans="2:13" ht="64" x14ac:dyDescent="0.45">
      <c r="B75" s="876" t="s">
        <v>56</v>
      </c>
      <c r="C75" s="876" t="s">
        <v>57</v>
      </c>
      <c r="D75" s="876" t="s">
        <v>65</v>
      </c>
      <c r="E75" s="876" t="s">
        <v>66</v>
      </c>
      <c r="F75" s="876" t="s">
        <v>67</v>
      </c>
      <c r="G75" s="42"/>
      <c r="H75" s="42"/>
      <c r="I75" s="42"/>
      <c r="J75" s="10"/>
      <c r="K75" s="10"/>
      <c r="L75" s="10"/>
    </row>
    <row r="76" spans="2:13" ht="17.5" x14ac:dyDescent="0.45">
      <c r="B76" s="554" t="s">
        <v>43</v>
      </c>
      <c r="C76" s="554" t="s">
        <v>54</v>
      </c>
      <c r="D76" s="743">
        <v>2159117</v>
      </c>
      <c r="E76" s="743">
        <v>3148245</v>
      </c>
      <c r="F76" s="743">
        <v>0</v>
      </c>
      <c r="G76" s="42"/>
      <c r="H76" s="42"/>
      <c r="I76" s="42"/>
      <c r="J76" s="10"/>
      <c r="K76" s="10"/>
      <c r="L76" s="10"/>
    </row>
    <row r="77" spans="2:13" ht="17.5" x14ac:dyDescent="0.45">
      <c r="B77" s="554"/>
      <c r="C77" s="551" t="s">
        <v>51</v>
      </c>
      <c r="D77" s="344">
        <v>724512</v>
      </c>
      <c r="E77" s="344">
        <v>1685564</v>
      </c>
      <c r="F77" s="344">
        <v>0</v>
      </c>
      <c r="G77" s="42"/>
      <c r="H77" s="42"/>
      <c r="I77" s="42"/>
      <c r="J77" s="10"/>
      <c r="K77" s="10"/>
      <c r="L77" s="10"/>
    </row>
    <row r="78" spans="2:13" ht="17.5" x14ac:dyDescent="0.45">
      <c r="B78" s="554"/>
      <c r="C78" s="551" t="s">
        <v>52</v>
      </c>
      <c r="D78" s="344">
        <v>1296782</v>
      </c>
      <c r="E78" s="344">
        <v>1322489</v>
      </c>
      <c r="F78" s="344">
        <v>0</v>
      </c>
      <c r="G78" s="42"/>
      <c r="H78" s="42"/>
      <c r="I78" s="42"/>
      <c r="J78" s="10"/>
      <c r="K78" s="10"/>
      <c r="L78" s="10"/>
    </row>
    <row r="79" spans="2:13" ht="17.5" x14ac:dyDescent="0.45">
      <c r="B79" s="555"/>
      <c r="C79" s="555" t="s">
        <v>53</v>
      </c>
      <c r="D79" s="182">
        <v>137823</v>
      </c>
      <c r="E79" s="182">
        <v>140192</v>
      </c>
      <c r="F79" s="182">
        <v>0</v>
      </c>
      <c r="G79" s="42"/>
      <c r="H79" s="42"/>
      <c r="I79" s="42"/>
      <c r="J79" s="10"/>
      <c r="K79" s="10"/>
      <c r="L79" s="10"/>
    </row>
    <row r="80" spans="2:13" ht="17.5" x14ac:dyDescent="0.45">
      <c r="B80" s="554" t="s">
        <v>44</v>
      </c>
      <c r="C80" s="554" t="s">
        <v>54</v>
      </c>
      <c r="D80" s="61">
        <v>1938118</v>
      </c>
      <c r="E80" s="61">
        <v>1155126</v>
      </c>
      <c r="F80" s="61">
        <v>0</v>
      </c>
      <c r="G80" s="556"/>
      <c r="H80" s="42"/>
      <c r="I80" s="42"/>
      <c r="J80" s="10"/>
      <c r="K80" s="10"/>
      <c r="L80" s="10"/>
    </row>
    <row r="81" spans="2:12" ht="17.5" x14ac:dyDescent="0.45">
      <c r="B81" s="554"/>
      <c r="C81" s="551" t="s">
        <v>51</v>
      </c>
      <c r="D81" s="344">
        <v>455602</v>
      </c>
      <c r="E81" s="344">
        <v>1111335</v>
      </c>
      <c r="F81" s="344">
        <v>0</v>
      </c>
      <c r="G81" s="556"/>
      <c r="H81" s="42"/>
      <c r="I81" s="42"/>
      <c r="J81" s="10"/>
      <c r="K81" s="10"/>
      <c r="L81" s="10"/>
    </row>
    <row r="82" spans="2:12" ht="17.5" x14ac:dyDescent="0.45">
      <c r="B82" s="554"/>
      <c r="C82" s="551" t="s">
        <v>52</v>
      </c>
      <c r="D82" s="344">
        <v>1351770</v>
      </c>
      <c r="E82" s="344">
        <v>39095</v>
      </c>
      <c r="F82" s="344">
        <v>0</v>
      </c>
      <c r="G82" s="556"/>
      <c r="H82" s="42"/>
      <c r="I82" s="42"/>
      <c r="J82" s="10"/>
      <c r="K82" s="10"/>
      <c r="L82" s="10"/>
    </row>
    <row r="83" spans="2:12" ht="18" thickBot="1" x14ac:dyDescent="0.5">
      <c r="B83" s="555"/>
      <c r="C83" s="555" t="s">
        <v>53</v>
      </c>
      <c r="D83" s="182">
        <v>130746</v>
      </c>
      <c r="E83" s="182">
        <v>4696</v>
      </c>
      <c r="F83" s="182">
        <v>0</v>
      </c>
      <c r="G83" s="556"/>
      <c r="H83" s="42"/>
      <c r="I83" s="42"/>
      <c r="J83" s="10"/>
      <c r="K83" s="10"/>
      <c r="L83" s="10"/>
    </row>
    <row r="84" spans="2:12" ht="17.5" x14ac:dyDescent="0.45">
      <c r="B84" s="31" t="s">
        <v>61</v>
      </c>
      <c r="C84" s="31" t="s">
        <v>54</v>
      </c>
      <c r="D84" s="61">
        <f>SUM(D85:D87)</f>
        <v>1972143</v>
      </c>
      <c r="E84" s="61">
        <f>SUM(E85:E87)</f>
        <v>1186221</v>
      </c>
      <c r="F84" s="61">
        <f>SUM(F85:F87)</f>
        <v>8967</v>
      </c>
      <c r="G84" s="40"/>
      <c r="H84" s="40"/>
      <c r="I84" s="40"/>
      <c r="J84" s="20"/>
      <c r="K84" s="20"/>
      <c r="L84" s="10"/>
    </row>
    <row r="85" spans="2:12" ht="17.5" x14ac:dyDescent="0.45">
      <c r="B85" s="31" t="s">
        <v>62</v>
      </c>
      <c r="C85" s="22" t="s">
        <v>51</v>
      </c>
      <c r="D85" s="344">
        <v>410939</v>
      </c>
      <c r="E85" s="344">
        <v>1136731</v>
      </c>
      <c r="F85" s="344">
        <v>4660</v>
      </c>
      <c r="G85" s="901"/>
      <c r="H85" s="901"/>
      <c r="I85" s="901"/>
      <c r="J85" s="20"/>
      <c r="K85" s="20"/>
      <c r="L85" s="10"/>
    </row>
    <row r="86" spans="2:12" ht="17.5" x14ac:dyDescent="0.45">
      <c r="B86" s="31"/>
      <c r="C86" s="22" t="s">
        <v>52</v>
      </c>
      <c r="D86" s="344">
        <v>1425098</v>
      </c>
      <c r="E86" s="344">
        <v>44009</v>
      </c>
      <c r="F86" s="344">
        <v>4307</v>
      </c>
      <c r="G86" s="901"/>
      <c r="H86" s="901"/>
      <c r="I86" s="901"/>
      <c r="J86" s="20"/>
      <c r="K86" s="20"/>
      <c r="L86" s="10"/>
    </row>
    <row r="87" spans="2:12" ht="18" thickBot="1" x14ac:dyDescent="0.5">
      <c r="B87" s="36"/>
      <c r="C87" s="36" t="s">
        <v>53</v>
      </c>
      <c r="D87" s="182">
        <v>136106</v>
      </c>
      <c r="E87" s="182">
        <v>5481</v>
      </c>
      <c r="F87" s="182">
        <v>0</v>
      </c>
      <c r="G87" s="901"/>
      <c r="H87" s="901"/>
      <c r="I87" s="901"/>
      <c r="J87" s="20"/>
      <c r="K87" s="20"/>
      <c r="L87" s="10"/>
    </row>
    <row r="88" spans="2:12" ht="17.5" x14ac:dyDescent="0.45">
      <c r="B88" s="31" t="s">
        <v>61</v>
      </c>
      <c r="C88" s="31" t="s">
        <v>54</v>
      </c>
      <c r="D88" s="61">
        <f>SUM(D89:D91)</f>
        <v>1972143</v>
      </c>
      <c r="E88" s="61">
        <f>SUM(E89:E91)</f>
        <v>1186221</v>
      </c>
      <c r="F88" s="61">
        <f>SUM(F89:F91)</f>
        <v>8967</v>
      </c>
      <c r="G88" s="40"/>
      <c r="H88" s="40"/>
      <c r="I88" s="40"/>
      <c r="J88" s="20"/>
      <c r="K88" s="20"/>
      <c r="L88" s="10"/>
    </row>
    <row r="89" spans="2:12" ht="17.5" x14ac:dyDescent="0.45">
      <c r="B89" s="31" t="s">
        <v>63</v>
      </c>
      <c r="C89" s="22" t="s">
        <v>51</v>
      </c>
      <c r="D89" s="344">
        <v>410939</v>
      </c>
      <c r="E89" s="344">
        <v>1136731</v>
      </c>
      <c r="F89" s="344">
        <v>4660</v>
      </c>
      <c r="G89" s="901"/>
      <c r="H89" s="901"/>
      <c r="I89" s="901"/>
      <c r="J89" s="20"/>
      <c r="K89" s="20"/>
      <c r="L89" s="10"/>
    </row>
    <row r="90" spans="2:12" ht="17.5" x14ac:dyDescent="0.45">
      <c r="B90" s="31"/>
      <c r="C90" s="22" t="s">
        <v>52</v>
      </c>
      <c r="D90" s="344">
        <v>1425098</v>
      </c>
      <c r="E90" s="344">
        <v>44009</v>
      </c>
      <c r="F90" s="344">
        <v>4307</v>
      </c>
      <c r="G90" s="901"/>
      <c r="H90" s="901"/>
      <c r="I90" s="901"/>
      <c r="J90" s="20"/>
      <c r="K90" s="20"/>
      <c r="L90" s="10"/>
    </row>
    <row r="91" spans="2:12" ht="18" thickBot="1" x14ac:dyDescent="0.5">
      <c r="B91" s="22"/>
      <c r="C91" s="22" t="s">
        <v>53</v>
      </c>
      <c r="D91" s="344">
        <v>136106</v>
      </c>
      <c r="E91" s="344">
        <v>5481</v>
      </c>
      <c r="F91" s="344">
        <v>0</v>
      </c>
      <c r="G91" s="901"/>
      <c r="H91" s="901"/>
      <c r="I91" s="901"/>
      <c r="J91" s="20"/>
      <c r="K91" s="20"/>
      <c r="L91" s="10"/>
    </row>
    <row r="92" spans="2:12" ht="17.5" x14ac:dyDescent="0.45">
      <c r="B92" s="306" t="s">
        <v>47</v>
      </c>
      <c r="C92" s="156" t="s">
        <v>54</v>
      </c>
      <c r="D92" s="406">
        <f>SUM(D93:D95)</f>
        <v>2022393</v>
      </c>
      <c r="E92" s="406">
        <f>SUM(E93:E95)</f>
        <v>1016946</v>
      </c>
      <c r="F92" s="407">
        <f>SUM(F93:F95)</f>
        <v>18543</v>
      </c>
      <c r="G92" s="873"/>
      <c r="H92" s="873"/>
      <c r="I92" s="873"/>
      <c r="J92" s="20"/>
      <c r="K92" s="20"/>
      <c r="L92" s="10"/>
    </row>
    <row r="93" spans="2:12" ht="17.5" x14ac:dyDescent="0.45">
      <c r="B93" s="157"/>
      <c r="C93" s="22" t="s">
        <v>51</v>
      </c>
      <c r="D93" s="23">
        <v>519765</v>
      </c>
      <c r="E93" s="23">
        <v>977812</v>
      </c>
      <c r="F93" s="408">
        <v>15838</v>
      </c>
      <c r="G93" s="873"/>
      <c r="H93" s="873"/>
      <c r="I93" s="873"/>
      <c r="J93" s="20"/>
      <c r="K93" s="20"/>
      <c r="L93" s="10"/>
    </row>
    <row r="94" spans="2:12" ht="17.5" x14ac:dyDescent="0.45">
      <c r="B94" s="157"/>
      <c r="C94" s="22" t="s">
        <v>52</v>
      </c>
      <c r="D94" s="23">
        <v>1364505</v>
      </c>
      <c r="E94" s="23">
        <v>34030</v>
      </c>
      <c r="F94" s="408">
        <v>2705</v>
      </c>
      <c r="G94" s="873"/>
      <c r="H94" s="873"/>
      <c r="I94" s="873"/>
      <c r="J94" s="20"/>
      <c r="K94" s="20"/>
      <c r="L94" s="10"/>
    </row>
    <row r="95" spans="2:12" ht="18" thickBot="1" x14ac:dyDescent="0.5">
      <c r="B95" s="158"/>
      <c r="C95" s="409" t="s">
        <v>53</v>
      </c>
      <c r="D95" s="410">
        <v>138123</v>
      </c>
      <c r="E95" s="410">
        <v>5104</v>
      </c>
      <c r="F95" s="411" t="s">
        <v>68</v>
      </c>
      <c r="G95" s="873"/>
      <c r="H95" s="873"/>
      <c r="I95" s="873"/>
      <c r="J95" s="20"/>
      <c r="K95" s="20"/>
      <c r="L95" s="10"/>
    </row>
    <row r="96" spans="2:12" ht="17.5" x14ac:dyDescent="0.45">
      <c r="B96" s="31" t="s">
        <v>48</v>
      </c>
      <c r="C96" s="31" t="s">
        <v>54</v>
      </c>
      <c r="D96" s="61">
        <f>SUM(D97:D99)</f>
        <v>2022393</v>
      </c>
      <c r="E96" s="61">
        <f>SUM(E97:E99)</f>
        <v>1016946</v>
      </c>
      <c r="F96" s="61">
        <f>SUM(F97:F99)</f>
        <v>18543</v>
      </c>
      <c r="G96" s="40"/>
      <c r="H96" s="40"/>
      <c r="I96" s="40"/>
      <c r="J96" s="20"/>
      <c r="K96" s="20"/>
      <c r="L96" s="10"/>
    </row>
    <row r="97" spans="2:14" ht="17.5" x14ac:dyDescent="0.45">
      <c r="B97" s="31"/>
      <c r="C97" s="22" t="s">
        <v>51</v>
      </c>
      <c r="D97" s="23">
        <v>519765</v>
      </c>
      <c r="E97" s="23">
        <v>977812</v>
      </c>
      <c r="F97" s="23">
        <v>15838</v>
      </c>
      <c r="G97" s="901"/>
      <c r="H97" s="901"/>
      <c r="I97" s="901"/>
      <c r="J97" s="20"/>
      <c r="K97" s="20"/>
      <c r="L97" s="10"/>
    </row>
    <row r="98" spans="2:14" ht="17.5" x14ac:dyDescent="0.45">
      <c r="B98" s="31"/>
      <c r="C98" s="22" t="s">
        <v>52</v>
      </c>
      <c r="D98" s="23">
        <v>1364505</v>
      </c>
      <c r="E98" s="23">
        <v>34030</v>
      </c>
      <c r="F98" s="23">
        <v>2705</v>
      </c>
      <c r="G98" s="901"/>
      <c r="H98" s="901"/>
      <c r="I98" s="901"/>
      <c r="J98" s="20"/>
      <c r="K98" s="20"/>
      <c r="L98" s="10"/>
    </row>
    <row r="99" spans="2:14" ht="18" thickBot="1" x14ac:dyDescent="0.5">
      <c r="B99" s="36"/>
      <c r="C99" s="36" t="s">
        <v>53</v>
      </c>
      <c r="D99" s="62">
        <v>138123</v>
      </c>
      <c r="E99" s="62">
        <v>5104</v>
      </c>
      <c r="F99" s="62" t="s">
        <v>68</v>
      </c>
      <c r="G99" s="901"/>
      <c r="H99" s="901"/>
      <c r="I99" s="901"/>
      <c r="J99" s="20"/>
      <c r="K99" s="20"/>
      <c r="L99" s="10"/>
    </row>
    <row r="100" spans="2:14" ht="17.5" x14ac:dyDescent="0.45">
      <c r="B100" s="31" t="s">
        <v>49</v>
      </c>
      <c r="C100" s="31" t="s">
        <v>54</v>
      </c>
      <c r="D100" s="61">
        <f>SUM(D101:D103)</f>
        <v>1526091.8044192286</v>
      </c>
      <c r="E100" s="61">
        <f>SUM(E101:E103)</f>
        <v>1141869.48</v>
      </c>
      <c r="F100" s="61">
        <f>SUM(F101:F103)</f>
        <v>24208</v>
      </c>
      <c r="G100" s="40"/>
      <c r="H100" s="40"/>
      <c r="I100" s="40"/>
      <c r="J100" s="20"/>
      <c r="K100" s="20"/>
      <c r="L100" s="10"/>
    </row>
    <row r="101" spans="2:14" ht="17.5" x14ac:dyDescent="0.45">
      <c r="B101" s="31"/>
      <c r="C101" s="22" t="s">
        <v>51</v>
      </c>
      <c r="D101" s="23">
        <v>291469.51999999996</v>
      </c>
      <c r="E101" s="23">
        <v>1114744.48</v>
      </c>
      <c r="F101" s="23">
        <v>9646</v>
      </c>
      <c r="G101" s="901"/>
      <c r="H101" s="901"/>
      <c r="I101" s="901"/>
      <c r="J101" s="20"/>
      <c r="K101" s="20"/>
      <c r="L101" s="10"/>
    </row>
    <row r="102" spans="2:14" ht="17.5" x14ac:dyDescent="0.45">
      <c r="B102" s="31"/>
      <c r="C102" s="22" t="s">
        <v>52</v>
      </c>
      <c r="D102" s="23">
        <v>1085729.2844192286</v>
      </c>
      <c r="E102" s="23">
        <v>27125</v>
      </c>
      <c r="F102" s="23">
        <v>2056</v>
      </c>
      <c r="G102" s="901"/>
      <c r="H102" s="901"/>
      <c r="I102" s="901"/>
      <c r="J102" s="20"/>
      <c r="K102" s="20"/>
      <c r="L102" s="10"/>
    </row>
    <row r="103" spans="2:14" ht="18" thickBot="1" x14ac:dyDescent="0.5">
      <c r="B103" s="36"/>
      <c r="C103" s="36" t="s">
        <v>53</v>
      </c>
      <c r="D103" s="62">
        <v>148893</v>
      </c>
      <c r="E103" s="62">
        <v>0</v>
      </c>
      <c r="F103" s="62">
        <v>12506</v>
      </c>
      <c r="G103" s="901"/>
      <c r="H103" s="901"/>
      <c r="I103" s="901"/>
      <c r="J103" s="20"/>
      <c r="K103" s="20"/>
      <c r="L103" s="10"/>
    </row>
    <row r="104" spans="2:14" ht="17.5" x14ac:dyDescent="0.45">
      <c r="B104" s="33" t="s">
        <v>50</v>
      </c>
      <c r="C104" s="33" t="s">
        <v>54</v>
      </c>
      <c r="D104" s="64">
        <v>1333282</v>
      </c>
      <c r="E104" s="64">
        <v>1338871</v>
      </c>
      <c r="F104" s="64">
        <v>73970</v>
      </c>
      <c r="G104" s="40"/>
      <c r="H104" s="40"/>
      <c r="I104" s="40"/>
      <c r="J104" s="20"/>
      <c r="K104" s="20"/>
      <c r="L104" s="10"/>
    </row>
    <row r="105" spans="2:14" ht="17.5" x14ac:dyDescent="0.45">
      <c r="B105" s="31"/>
      <c r="C105" s="22" t="s">
        <v>51</v>
      </c>
      <c r="D105" s="23">
        <v>121510</v>
      </c>
      <c r="E105" s="23">
        <v>1289527</v>
      </c>
      <c r="F105" s="23">
        <v>29539</v>
      </c>
      <c r="G105" s="901"/>
      <c r="H105" s="901"/>
      <c r="I105" s="901"/>
      <c r="J105" s="20"/>
      <c r="K105" s="20"/>
      <c r="L105" s="10"/>
    </row>
    <row r="106" spans="2:14" ht="17.5" x14ac:dyDescent="0.45">
      <c r="B106" s="31"/>
      <c r="C106" s="22" t="s">
        <v>52</v>
      </c>
      <c r="D106" s="23">
        <v>1085745</v>
      </c>
      <c r="E106" s="23">
        <v>36503</v>
      </c>
      <c r="F106" s="23">
        <v>1997</v>
      </c>
      <c r="G106" s="901"/>
      <c r="H106" s="901"/>
      <c r="I106" s="901"/>
      <c r="J106" s="20"/>
      <c r="K106" s="20"/>
      <c r="L106" s="10"/>
    </row>
    <row r="107" spans="2:14" ht="18" thickBot="1" x14ac:dyDescent="0.5">
      <c r="B107" s="36"/>
      <c r="C107" s="36" t="s">
        <v>53</v>
      </c>
      <c r="D107" s="62">
        <v>126027</v>
      </c>
      <c r="E107" s="62">
        <v>12841</v>
      </c>
      <c r="F107" s="62">
        <v>42434</v>
      </c>
      <c r="G107" s="901"/>
      <c r="H107" s="901"/>
      <c r="I107" s="901"/>
      <c r="J107" s="20"/>
      <c r="K107" s="20"/>
      <c r="L107" s="10"/>
    </row>
    <row r="108" spans="2:14" ht="17.5" x14ac:dyDescent="0.45">
      <c r="B108" s="873"/>
      <c r="C108" s="873"/>
      <c r="D108" s="873"/>
      <c r="E108" s="873"/>
      <c r="F108" s="873"/>
      <c r="G108" s="873"/>
      <c r="H108" s="873"/>
      <c r="I108" s="873"/>
      <c r="J108" s="873"/>
      <c r="K108" s="873"/>
      <c r="L108" s="10"/>
    </row>
    <row r="109" spans="2:14" s="601" customFormat="1" ht="17.5" x14ac:dyDescent="0.45">
      <c r="B109" s="657" t="s">
        <v>13</v>
      </c>
      <c r="C109" s="657"/>
      <c r="D109" s="604"/>
      <c r="E109" s="604"/>
      <c r="F109" s="604"/>
      <c r="G109" s="604"/>
      <c r="H109" s="604"/>
      <c r="I109" s="604"/>
      <c r="J109" s="604"/>
      <c r="K109" s="604"/>
      <c r="L109" s="658"/>
    </row>
    <row r="110" spans="2:14" ht="6" customHeight="1" thickBot="1" x14ac:dyDescent="0.5">
      <c r="B110" s="19"/>
      <c r="C110" s="19"/>
      <c r="D110" s="20"/>
      <c r="E110" s="10"/>
      <c r="F110" s="20"/>
      <c r="G110" s="20"/>
      <c r="H110" s="20"/>
      <c r="I110" s="20"/>
      <c r="J110" s="20"/>
      <c r="K110" s="20"/>
      <c r="L110" s="10"/>
    </row>
    <row r="111" spans="2:14" ht="32" x14ac:dyDescent="0.45">
      <c r="B111" s="876" t="s">
        <v>57</v>
      </c>
      <c r="C111" s="876" t="s">
        <v>43</v>
      </c>
      <c r="D111" s="876" t="s">
        <v>44</v>
      </c>
      <c r="E111" s="876" t="s">
        <v>45</v>
      </c>
      <c r="F111" s="876" t="s">
        <v>46</v>
      </c>
      <c r="G111" s="876" t="s">
        <v>47</v>
      </c>
      <c r="H111" s="876" t="s">
        <v>48</v>
      </c>
      <c r="I111" s="876" t="s">
        <v>49</v>
      </c>
      <c r="J111" s="876" t="s">
        <v>50</v>
      </c>
      <c r="K111" s="10"/>
      <c r="L111" s="10"/>
      <c r="M111" s="10"/>
      <c r="N111" s="10"/>
    </row>
    <row r="112" spans="2:14" ht="17.5" x14ac:dyDescent="0.45">
      <c r="B112" s="22" t="s">
        <v>69</v>
      </c>
      <c r="C112" s="352">
        <v>0.4</v>
      </c>
      <c r="D112" s="352">
        <v>0.41899999999999998</v>
      </c>
      <c r="E112" s="352">
        <v>0.43409999999999999</v>
      </c>
      <c r="F112" s="352">
        <v>0.43409999999999999</v>
      </c>
      <c r="G112" s="65">
        <v>0.43</v>
      </c>
      <c r="H112" s="65">
        <v>0.43</v>
      </c>
      <c r="I112" s="65">
        <v>0.37797267825086395</v>
      </c>
      <c r="J112" s="66">
        <v>0.38</v>
      </c>
      <c r="K112" s="10"/>
      <c r="L112" s="10"/>
      <c r="M112" s="10"/>
      <c r="N112" s="10"/>
    </row>
    <row r="113" spans="2:16" ht="17.5" x14ac:dyDescent="0.45">
      <c r="B113" s="22" t="s">
        <v>70</v>
      </c>
      <c r="C113" s="352">
        <v>2.9399999999999999E-2</v>
      </c>
      <c r="D113" s="352">
        <v>3.4000000000000002E-2</v>
      </c>
      <c r="E113" s="352">
        <v>3.4000000000000002E-2</v>
      </c>
      <c r="F113" s="352">
        <v>3.4000000000000002E-2</v>
      </c>
      <c r="G113" s="65">
        <v>0.04</v>
      </c>
      <c r="H113" s="65">
        <v>0.04</v>
      </c>
      <c r="I113" s="65">
        <v>3.6273691636671331E-2</v>
      </c>
      <c r="J113" s="66">
        <v>0.04</v>
      </c>
      <c r="K113" s="10"/>
      <c r="L113" s="10"/>
      <c r="M113" s="10"/>
      <c r="N113" s="10"/>
    </row>
    <row r="114" spans="2:16" ht="17.5" x14ac:dyDescent="0.45">
      <c r="B114" s="22" t="s">
        <v>71</v>
      </c>
      <c r="C114" s="352">
        <v>0.32600000000000001</v>
      </c>
      <c r="D114" s="352">
        <v>0.314</v>
      </c>
      <c r="E114" s="352">
        <v>0.31840000000000002</v>
      </c>
      <c r="F114" s="352">
        <v>0.31840000000000002</v>
      </c>
      <c r="G114" s="65">
        <v>0.32</v>
      </c>
      <c r="H114" s="65">
        <v>0.32</v>
      </c>
      <c r="I114" s="65">
        <v>0.24278987877590244</v>
      </c>
      <c r="J114" s="66">
        <v>0.28000000000000003</v>
      </c>
      <c r="K114" s="10"/>
      <c r="L114" s="10"/>
      <c r="M114" s="10"/>
      <c r="N114" s="10"/>
    </row>
    <row r="115" spans="2:16" ht="17.5" x14ac:dyDescent="0.45">
      <c r="B115" s="22" t="s">
        <v>72</v>
      </c>
      <c r="C115" s="352">
        <v>3.0499999999999999E-2</v>
      </c>
      <c r="D115" s="352">
        <v>3.7999999999999999E-2</v>
      </c>
      <c r="E115" s="352">
        <v>3.73E-2</v>
      </c>
      <c r="F115" s="352">
        <v>3.73E-2</v>
      </c>
      <c r="G115" s="65">
        <v>0.03</v>
      </c>
      <c r="H115" s="65">
        <v>0.03</v>
      </c>
      <c r="I115" s="65">
        <v>3.3585155667532757E-2</v>
      </c>
      <c r="J115" s="66">
        <v>0.03</v>
      </c>
      <c r="K115" s="10"/>
      <c r="L115" s="10"/>
      <c r="M115" s="10"/>
      <c r="N115" s="10"/>
    </row>
    <row r="116" spans="2:16" ht="17.5" x14ac:dyDescent="0.45">
      <c r="B116" s="22" t="s">
        <v>73</v>
      </c>
      <c r="C116" s="352">
        <v>0.2094</v>
      </c>
      <c r="D116" s="352">
        <v>0.19500000000000001</v>
      </c>
      <c r="E116" s="352">
        <v>0.1762</v>
      </c>
      <c r="F116" s="352">
        <v>0.1762</v>
      </c>
      <c r="G116" s="65">
        <v>0.18</v>
      </c>
      <c r="H116" s="65">
        <v>0.18</v>
      </c>
      <c r="I116" s="65">
        <v>0.28312831883897382</v>
      </c>
      <c r="J116" s="66">
        <v>0.26</v>
      </c>
      <c r="K116" s="10"/>
      <c r="L116" s="10"/>
      <c r="M116" s="10"/>
      <c r="N116" s="10"/>
    </row>
    <row r="117" spans="2:16" ht="17.5" x14ac:dyDescent="0.45">
      <c r="B117" s="36" t="s">
        <v>74</v>
      </c>
      <c r="C117" s="353">
        <v>2.0000000000000001E-4</v>
      </c>
      <c r="D117" s="353">
        <v>0</v>
      </c>
      <c r="E117" s="353">
        <v>0</v>
      </c>
      <c r="F117" s="353">
        <v>0</v>
      </c>
      <c r="G117" s="67">
        <v>0</v>
      </c>
      <c r="H117" s="67">
        <v>0</v>
      </c>
      <c r="I117" s="67">
        <v>2.625027683005569E-2</v>
      </c>
      <c r="J117" s="68">
        <v>0.01</v>
      </c>
      <c r="K117" s="10"/>
      <c r="L117" s="10"/>
      <c r="M117" s="10"/>
      <c r="N117" s="10"/>
    </row>
    <row r="118" spans="2:16" ht="17.5" x14ac:dyDescent="0.45">
      <c r="B118" s="19"/>
      <c r="C118" s="45"/>
      <c r="D118" s="20"/>
      <c r="E118" s="20"/>
      <c r="F118" s="20"/>
      <c r="G118" s="20"/>
      <c r="H118" s="20"/>
      <c r="I118" s="20"/>
      <c r="J118" s="20"/>
      <c r="K118" s="20"/>
      <c r="L118" s="10"/>
    </row>
    <row r="119" spans="2:16" s="601" customFormat="1" ht="25" x14ac:dyDescent="0.45">
      <c r="B119" s="649" t="s">
        <v>15</v>
      </c>
      <c r="C119" s="661"/>
      <c r="D119" s="604"/>
      <c r="E119" s="604"/>
      <c r="F119" s="604"/>
      <c r="G119" s="604"/>
      <c r="H119" s="604"/>
      <c r="I119" s="604"/>
      <c r="J119" s="604"/>
      <c r="K119" s="604"/>
      <c r="L119" s="658"/>
    </row>
    <row r="120" spans="2:16" s="9" customFormat="1" ht="7.4" customHeight="1" x14ac:dyDescent="0.45">
      <c r="B120" s="160"/>
      <c r="C120" s="160"/>
      <c r="D120" s="161"/>
      <c r="E120" s="161"/>
      <c r="F120" s="161"/>
      <c r="G120" s="161"/>
      <c r="H120" s="161"/>
      <c r="I120" s="161"/>
      <c r="J120" s="161"/>
      <c r="K120" s="161"/>
      <c r="L120" s="107"/>
    </row>
    <row r="121" spans="2:16" s="601" customFormat="1" ht="17.5" x14ac:dyDescent="0.45">
      <c r="B121" s="657" t="s">
        <v>17</v>
      </c>
      <c r="C121" s="657"/>
      <c r="D121" s="604"/>
      <c r="E121" s="604"/>
      <c r="F121" s="604"/>
      <c r="G121" s="604"/>
      <c r="H121" s="604"/>
      <c r="I121" s="604"/>
      <c r="J121" s="604"/>
      <c r="K121" s="604"/>
      <c r="L121" s="658"/>
    </row>
    <row r="122" spans="2:16" ht="6" customHeight="1" thickBot="1" x14ac:dyDescent="0.5">
      <c r="B122" s="19"/>
      <c r="C122" s="19"/>
      <c r="D122" s="20"/>
      <c r="E122" s="10"/>
      <c r="F122" s="20"/>
      <c r="G122" s="20"/>
      <c r="H122" s="20"/>
      <c r="I122" s="20"/>
      <c r="J122" s="20"/>
      <c r="K122" s="20"/>
      <c r="L122" s="10"/>
    </row>
    <row r="123" spans="2:16" ht="32" x14ac:dyDescent="0.45">
      <c r="B123" s="876" t="s">
        <v>75</v>
      </c>
      <c r="C123" s="876" t="s">
        <v>43</v>
      </c>
      <c r="D123" s="876" t="s">
        <v>44</v>
      </c>
      <c r="E123" s="876" t="s">
        <v>45</v>
      </c>
      <c r="F123" s="876" t="s">
        <v>46</v>
      </c>
      <c r="G123" s="876" t="s">
        <v>47</v>
      </c>
      <c r="H123" s="876" t="s">
        <v>48</v>
      </c>
      <c r="I123" s="876" t="s">
        <v>49</v>
      </c>
      <c r="J123" s="876" t="s">
        <v>75</v>
      </c>
      <c r="K123" s="876" t="s">
        <v>50</v>
      </c>
      <c r="L123" s="20"/>
      <c r="M123" s="20"/>
      <c r="N123" s="20"/>
      <c r="O123" s="1"/>
      <c r="P123" s="1"/>
    </row>
    <row r="124" spans="2:16" ht="17.5" x14ac:dyDescent="0.45">
      <c r="B124" s="22" t="s">
        <v>76</v>
      </c>
      <c r="C124" s="412">
        <v>0</v>
      </c>
      <c r="D124" s="412">
        <v>0</v>
      </c>
      <c r="E124" s="412">
        <v>0</v>
      </c>
      <c r="F124" s="412">
        <v>0</v>
      </c>
      <c r="G124" s="412">
        <v>17444</v>
      </c>
      <c r="H124" s="71">
        <v>76356</v>
      </c>
      <c r="I124" s="71">
        <f>64016592/1000</f>
        <v>64016.591999999997</v>
      </c>
      <c r="J124" s="22" t="s">
        <v>77</v>
      </c>
      <c r="K124" s="23">
        <v>69388.687000000005</v>
      </c>
      <c r="L124" s="20"/>
      <c r="M124" s="367"/>
      <c r="N124" s="20"/>
      <c r="O124" s="1"/>
      <c r="P124" s="1"/>
    </row>
    <row r="125" spans="2:16" ht="17.5" x14ac:dyDescent="0.45">
      <c r="B125" s="22" t="s">
        <v>78</v>
      </c>
      <c r="C125" s="412">
        <v>23676.400000000001</v>
      </c>
      <c r="D125" s="412">
        <v>15107</v>
      </c>
      <c r="E125" s="412">
        <v>26174.628000000001</v>
      </c>
      <c r="F125" s="412">
        <v>26174.628000000001</v>
      </c>
      <c r="G125" s="412">
        <v>5061</v>
      </c>
      <c r="H125" s="71">
        <v>5601</v>
      </c>
      <c r="I125" s="71">
        <f>23226623.58/1000+9449</f>
        <v>32675.623579999999</v>
      </c>
      <c r="J125" s="22" t="s">
        <v>79</v>
      </c>
      <c r="K125" s="23">
        <v>13686.870999999999</v>
      </c>
      <c r="L125" s="20"/>
      <c r="M125" s="20"/>
      <c r="N125" s="20"/>
      <c r="O125" s="1"/>
      <c r="P125" s="1"/>
    </row>
    <row r="126" spans="2:16" ht="17.5" x14ac:dyDescent="0.45">
      <c r="B126" s="24" t="s">
        <v>80</v>
      </c>
      <c r="C126" s="413">
        <v>23676.400000000001</v>
      </c>
      <c r="D126" s="413">
        <f>SUM(D124:D125)</f>
        <v>15107</v>
      </c>
      <c r="E126" s="413">
        <f>SUM(E124:E125)</f>
        <v>26174.628000000001</v>
      </c>
      <c r="F126" s="413">
        <f>SUM(F124:F125)</f>
        <v>26174.628000000001</v>
      </c>
      <c r="G126" s="413">
        <f>G125+G124</f>
        <v>22505</v>
      </c>
      <c r="H126" s="72">
        <f>SUM(H124:H125)+1</f>
        <v>81958</v>
      </c>
      <c r="I126" s="72">
        <f>SUM(I124:I125)+1</f>
        <v>96693.215579999989</v>
      </c>
      <c r="J126" s="31" t="s">
        <v>81</v>
      </c>
      <c r="K126" s="61">
        <f>SUM(K124:K125)</f>
        <v>83075.558000000005</v>
      </c>
      <c r="L126" s="20"/>
      <c r="M126" s="20"/>
      <c r="N126" s="20"/>
      <c r="O126" s="1"/>
      <c r="P126" s="1"/>
    </row>
    <row r="127" spans="2:16" ht="17.5" x14ac:dyDescent="0.45">
      <c r="B127" s="69"/>
      <c r="D127" s="69"/>
      <c r="I127" s="73"/>
      <c r="J127" s="22" t="s">
        <v>82</v>
      </c>
      <c r="K127" s="23">
        <v>10485.812</v>
      </c>
      <c r="L127" s="20"/>
      <c r="M127" s="20"/>
      <c r="N127" s="20"/>
      <c r="O127" s="1"/>
      <c r="P127" s="1"/>
    </row>
    <row r="128" spans="2:16" ht="18" thickBot="1" x14ac:dyDescent="0.5">
      <c r="B128" s="10"/>
      <c r="D128" s="10"/>
      <c r="I128" s="10"/>
      <c r="J128" s="24" t="s">
        <v>80</v>
      </c>
      <c r="K128" s="26">
        <v>93561.37</v>
      </c>
      <c r="L128" s="20"/>
      <c r="M128" s="20"/>
      <c r="N128" s="20"/>
      <c r="O128" s="1"/>
      <c r="P128" s="1"/>
    </row>
    <row r="129" spans="2:16" ht="17.5" x14ac:dyDescent="0.45">
      <c r="B129" s="47"/>
      <c r="C129" s="19"/>
      <c r="D129" s="20"/>
      <c r="E129" s="20"/>
      <c r="F129" s="20"/>
      <c r="G129" s="20"/>
      <c r="H129" s="20"/>
      <c r="I129" s="20"/>
      <c r="J129" s="20"/>
      <c r="K129" s="20"/>
      <c r="L129" s="10"/>
    </row>
    <row r="130" spans="2:16" s="601" customFormat="1" ht="25" x14ac:dyDescent="0.45">
      <c r="B130" s="649" t="s">
        <v>19</v>
      </c>
      <c r="C130" s="661"/>
      <c r="D130" s="604"/>
      <c r="E130" s="604"/>
      <c r="F130" s="604"/>
      <c r="G130" s="604"/>
      <c r="H130" s="604"/>
      <c r="I130" s="604"/>
      <c r="J130" s="604"/>
      <c r="K130" s="604"/>
      <c r="L130" s="658"/>
    </row>
    <row r="131" spans="2:16" ht="7.4" customHeight="1" x14ac:dyDescent="0.45">
      <c r="C131" s="46"/>
      <c r="D131" s="20"/>
      <c r="E131" s="20"/>
      <c r="F131" s="20"/>
      <c r="G131" s="20"/>
      <c r="H131" s="20"/>
      <c r="I131" s="20"/>
      <c r="J131" s="20"/>
      <c r="K131" s="20"/>
      <c r="L131" s="10"/>
    </row>
    <row r="132" spans="2:16" s="601" customFormat="1" ht="17.5" x14ac:dyDescent="0.45">
      <c r="B132" s="817" t="s">
        <v>83</v>
      </c>
      <c r="C132" s="657"/>
      <c r="D132" s="604"/>
      <c r="E132" s="604"/>
      <c r="F132" s="604"/>
      <c r="G132" s="604"/>
      <c r="H132" s="604"/>
      <c r="I132" s="604"/>
      <c r="J132" s="604"/>
      <c r="K132" s="604"/>
      <c r="L132" s="658"/>
    </row>
    <row r="133" spans="2:16" ht="6" customHeight="1" thickBot="1" x14ac:dyDescent="0.5">
      <c r="B133" s="19"/>
      <c r="C133" s="19"/>
      <c r="D133" s="20"/>
      <c r="E133" s="10"/>
      <c r="F133" s="20"/>
      <c r="G133" s="20"/>
      <c r="H133" s="20"/>
      <c r="I133" s="20"/>
      <c r="J133" s="20"/>
      <c r="K133" s="20"/>
      <c r="L133" s="10"/>
    </row>
    <row r="134" spans="2:16" ht="32" x14ac:dyDescent="0.45">
      <c r="B134" s="876" t="s">
        <v>75</v>
      </c>
      <c r="C134" s="876" t="s">
        <v>43</v>
      </c>
      <c r="D134" s="876" t="s">
        <v>44</v>
      </c>
      <c r="E134" s="876" t="s">
        <v>45</v>
      </c>
      <c r="F134" s="876" t="s">
        <v>46</v>
      </c>
      <c r="G134" s="876" t="s">
        <v>47</v>
      </c>
      <c r="H134" s="876" t="s">
        <v>48</v>
      </c>
      <c r="I134" s="876" t="s">
        <v>49</v>
      </c>
      <c r="J134" s="876" t="s">
        <v>75</v>
      </c>
      <c r="K134" s="876" t="s">
        <v>50</v>
      </c>
      <c r="L134" s="20"/>
      <c r="M134" s="20"/>
      <c r="N134" s="20"/>
      <c r="O134" s="1"/>
      <c r="P134" s="1"/>
    </row>
    <row r="135" spans="2:16" ht="17.5" x14ac:dyDescent="0.45">
      <c r="B135" s="22" t="s">
        <v>76</v>
      </c>
      <c r="C135" s="902" t="s">
        <v>84</v>
      </c>
      <c r="D135" s="414">
        <v>249078.56</v>
      </c>
      <c r="E135" s="414">
        <v>245460</v>
      </c>
      <c r="F135" s="414">
        <v>3132984</v>
      </c>
      <c r="G135" s="414">
        <v>307478</v>
      </c>
      <c r="H135" s="354">
        <v>5163127.9486666657</v>
      </c>
      <c r="I135" s="63">
        <v>4251301</v>
      </c>
      <c r="J135" s="22" t="s">
        <v>77</v>
      </c>
      <c r="K135" s="23">
        <v>2429480</v>
      </c>
      <c r="L135" s="20"/>
      <c r="M135" s="20"/>
      <c r="N135" s="20"/>
      <c r="O135" s="1"/>
      <c r="P135" s="1"/>
    </row>
    <row r="136" spans="2:16" ht="17.5" x14ac:dyDescent="0.45">
      <c r="B136" s="22" t="s">
        <v>78</v>
      </c>
      <c r="C136" s="902"/>
      <c r="D136" s="414">
        <v>125619.5</v>
      </c>
      <c r="E136" s="414">
        <v>136732</v>
      </c>
      <c r="F136" s="414">
        <v>116529</v>
      </c>
      <c r="G136" s="414">
        <f>H136</f>
        <v>102122</v>
      </c>
      <c r="H136" s="354">
        <v>102122</v>
      </c>
      <c r="I136" s="63">
        <f>364196+55573</f>
        <v>419769</v>
      </c>
      <c r="J136" s="22" t="s">
        <v>79</v>
      </c>
      <c r="K136" s="23">
        <v>585851</v>
      </c>
      <c r="L136" s="20"/>
      <c r="M136" s="20"/>
      <c r="N136" s="20"/>
      <c r="O136" s="1"/>
      <c r="P136" s="1"/>
    </row>
    <row r="137" spans="2:16" ht="17.5" x14ac:dyDescent="0.45">
      <c r="B137" s="24" t="s">
        <v>80</v>
      </c>
      <c r="C137" s="785">
        <v>346394</v>
      </c>
      <c r="D137" s="355">
        <f>SUM(D135:D136)</f>
        <v>374698.06</v>
      </c>
      <c r="E137" s="355">
        <f>E135+E136</f>
        <v>382192</v>
      </c>
      <c r="F137" s="355">
        <f>F135+F136</f>
        <v>3249513</v>
      </c>
      <c r="G137" s="415">
        <f>G136+G135</f>
        <v>409600</v>
      </c>
      <c r="H137" s="355">
        <v>5265249.9486666657</v>
      </c>
      <c r="I137" s="74">
        <f>SUM(I135:I136)</f>
        <v>4671070</v>
      </c>
      <c r="J137" s="31" t="s">
        <v>81</v>
      </c>
      <c r="K137" s="61">
        <f>SUM(K135:K136)</f>
        <v>3015331</v>
      </c>
      <c r="L137" s="20"/>
      <c r="M137" s="20"/>
      <c r="N137" s="20"/>
      <c r="O137" s="1"/>
      <c r="P137" s="1"/>
    </row>
    <row r="138" spans="2:16" ht="17.5" x14ac:dyDescent="0.45">
      <c r="B138" s="69"/>
      <c r="D138" s="69"/>
      <c r="I138" s="59"/>
      <c r="J138" s="22" t="s">
        <v>82</v>
      </c>
      <c r="K138" s="23">
        <v>42630</v>
      </c>
      <c r="L138" s="20"/>
      <c r="M138" s="20"/>
      <c r="N138" s="20"/>
      <c r="O138" s="1"/>
      <c r="P138" s="1"/>
    </row>
    <row r="139" spans="2:16" ht="17.5" x14ac:dyDescent="0.45">
      <c r="B139" s="10"/>
      <c r="D139" s="10"/>
      <c r="I139" s="10"/>
      <c r="J139" s="24" t="s">
        <v>80</v>
      </c>
      <c r="K139" s="25">
        <v>3057961</v>
      </c>
      <c r="L139" s="20"/>
      <c r="M139" s="20"/>
      <c r="N139" s="20"/>
      <c r="O139" s="1"/>
      <c r="P139" s="1"/>
    </row>
    <row r="140" spans="2:16" ht="17.5" x14ac:dyDescent="0.45">
      <c r="B140" s="10"/>
      <c r="D140" s="10"/>
      <c r="I140" s="10"/>
      <c r="J140" s="294"/>
      <c r="K140" s="749"/>
      <c r="L140" s="20"/>
      <c r="M140" s="20"/>
      <c r="N140" s="20"/>
      <c r="O140" s="1"/>
      <c r="P140" s="1"/>
    </row>
    <row r="141" spans="2:16" s="601" customFormat="1" ht="17.5" x14ac:dyDescent="0.45">
      <c r="B141" s="657" t="s">
        <v>23</v>
      </c>
      <c r="C141" s="657"/>
      <c r="D141" s="604"/>
      <c r="E141" s="604"/>
      <c r="F141" s="604"/>
      <c r="G141" s="604"/>
      <c r="H141" s="604"/>
      <c r="I141" s="604"/>
      <c r="J141" s="604"/>
      <c r="K141" s="604"/>
      <c r="L141" s="658"/>
    </row>
    <row r="142" spans="2:16" ht="6.65" customHeight="1" thickBot="1" x14ac:dyDescent="0.5">
      <c r="B142" s="10"/>
      <c r="D142" s="10"/>
      <c r="I142" s="10"/>
      <c r="J142" s="294"/>
      <c r="K142" s="749"/>
      <c r="L142" s="20"/>
      <c r="M142" s="20"/>
      <c r="N142" s="20"/>
      <c r="O142" s="1"/>
      <c r="P142" s="1"/>
    </row>
    <row r="143" spans="2:16" ht="17.5" x14ac:dyDescent="0.45">
      <c r="B143" s="750" t="s">
        <v>75</v>
      </c>
      <c r="C143" s="751" t="s">
        <v>43</v>
      </c>
      <c r="D143" s="751" t="s">
        <v>44</v>
      </c>
      <c r="E143" s="751" t="s">
        <v>46</v>
      </c>
      <c r="F143" s="751" t="s">
        <v>48</v>
      </c>
      <c r="G143" s="751" t="s">
        <v>49</v>
      </c>
      <c r="H143" s="752" t="s">
        <v>50</v>
      </c>
      <c r="I143" s="10"/>
      <c r="J143" s="294"/>
      <c r="K143" s="749"/>
      <c r="L143" s="20"/>
      <c r="M143" s="20"/>
      <c r="N143" s="20"/>
      <c r="O143" s="1"/>
      <c r="P143" s="1"/>
    </row>
    <row r="144" spans="2:16" ht="17.5" x14ac:dyDescent="0.45">
      <c r="B144" s="183" t="s">
        <v>85</v>
      </c>
      <c r="C144" s="414" t="s">
        <v>86</v>
      </c>
      <c r="D144" s="414" t="s">
        <v>86</v>
      </c>
      <c r="E144" s="414" t="s">
        <v>86</v>
      </c>
      <c r="F144" s="414" t="s">
        <v>86</v>
      </c>
      <c r="G144" s="414" t="s">
        <v>86</v>
      </c>
      <c r="H144" s="857" t="s">
        <v>87</v>
      </c>
      <c r="I144" s="10"/>
      <c r="J144" s="294"/>
      <c r="K144" s="749"/>
      <c r="L144" s="20"/>
      <c r="M144" s="20"/>
      <c r="N144" s="20"/>
      <c r="O144" s="1"/>
      <c r="P144" s="1"/>
    </row>
    <row r="145" spans="2:16" ht="18" thickBot="1" x14ac:dyDescent="0.5">
      <c r="B145" s="158" t="s">
        <v>88</v>
      </c>
      <c r="C145" s="753" t="s">
        <v>89</v>
      </c>
      <c r="D145" s="753" t="s">
        <v>89</v>
      </c>
      <c r="E145" s="753" t="s">
        <v>89</v>
      </c>
      <c r="F145" s="753" t="s">
        <v>89</v>
      </c>
      <c r="G145" s="753" t="s">
        <v>89</v>
      </c>
      <c r="H145" s="754" t="s">
        <v>86</v>
      </c>
      <c r="I145" s="10"/>
      <c r="J145" s="294"/>
      <c r="K145" s="749"/>
      <c r="L145" s="20"/>
      <c r="M145" s="20"/>
      <c r="N145" s="20"/>
      <c r="O145" s="1"/>
      <c r="P145" s="1"/>
    </row>
    <row r="146" spans="2:16" ht="17.5" x14ac:dyDescent="0.45">
      <c r="B146" s="19"/>
      <c r="C146" s="19"/>
      <c r="D146" s="20"/>
      <c r="E146" s="20"/>
      <c r="F146" s="20"/>
      <c r="G146" s="20"/>
      <c r="H146" s="20"/>
      <c r="I146" s="20"/>
      <c r="J146" s="20"/>
      <c r="K146" s="20"/>
      <c r="L146" s="10"/>
    </row>
    <row r="147" spans="2:16" s="601" customFormat="1" ht="25" x14ac:dyDescent="0.45">
      <c r="B147" s="649" t="s">
        <v>27</v>
      </c>
      <c r="C147" s="661"/>
      <c r="D147" s="604"/>
      <c r="E147" s="604"/>
      <c r="F147" s="604"/>
      <c r="G147" s="604"/>
      <c r="H147" s="604"/>
      <c r="I147" s="604"/>
      <c r="J147" s="604"/>
      <c r="K147" s="658"/>
      <c r="L147" s="658"/>
    </row>
    <row r="148" spans="2:16" ht="6" customHeight="1" x14ac:dyDescent="0.45">
      <c r="C148" s="46"/>
      <c r="D148" s="20"/>
      <c r="E148" s="20"/>
      <c r="F148" s="20"/>
      <c r="G148" s="20"/>
      <c r="H148" s="20"/>
      <c r="I148" s="20"/>
      <c r="J148" s="20"/>
      <c r="K148" s="10"/>
      <c r="L148" s="10"/>
    </row>
    <row r="149" spans="2:16" s="601" customFormat="1" ht="17.5" x14ac:dyDescent="0.45">
      <c r="B149" s="657" t="s">
        <v>90</v>
      </c>
      <c r="C149" s="657"/>
      <c r="D149" s="604"/>
      <c r="E149" s="604"/>
      <c r="F149" s="604"/>
      <c r="G149" s="604"/>
      <c r="H149" s="604"/>
      <c r="I149" s="604"/>
      <c r="J149" s="604"/>
      <c r="K149" s="604"/>
      <c r="L149" s="658"/>
    </row>
    <row r="150" spans="2:16" ht="6" customHeight="1" thickBot="1" x14ac:dyDescent="0.5">
      <c r="B150" s="19"/>
      <c r="C150" s="19"/>
      <c r="D150" s="20"/>
      <c r="E150" s="10"/>
      <c r="F150" s="20"/>
      <c r="G150" s="20"/>
      <c r="H150" s="20"/>
      <c r="I150" s="20"/>
      <c r="J150" s="20"/>
      <c r="K150" s="20"/>
      <c r="L150" s="10"/>
    </row>
    <row r="151" spans="2:16" ht="32" x14ac:dyDescent="0.45">
      <c r="B151" s="876" t="s">
        <v>75</v>
      </c>
      <c r="C151" s="876" t="s">
        <v>43</v>
      </c>
      <c r="D151" s="876" t="s">
        <v>91</v>
      </c>
      <c r="E151" s="876" t="s">
        <v>44</v>
      </c>
      <c r="F151" s="876" t="s">
        <v>45</v>
      </c>
      <c r="G151" s="876" t="s">
        <v>46</v>
      </c>
      <c r="H151" s="876" t="s">
        <v>47</v>
      </c>
      <c r="I151" s="876" t="s">
        <v>48</v>
      </c>
      <c r="J151" s="876" t="s">
        <v>49</v>
      </c>
      <c r="K151" s="876" t="s">
        <v>75</v>
      </c>
      <c r="L151" s="876" t="s">
        <v>50</v>
      </c>
      <c r="M151" s="10"/>
      <c r="N151" s="10"/>
    </row>
    <row r="152" spans="2:16" ht="17.5" x14ac:dyDescent="0.45">
      <c r="B152" s="22" t="s">
        <v>78</v>
      </c>
      <c r="C152" s="847">
        <f>211.597714+22.718738</f>
        <v>234.316452</v>
      </c>
      <c r="D152" s="847">
        <v>177.659066</v>
      </c>
      <c r="E152" s="468">
        <v>180.08596700000001</v>
      </c>
      <c r="F152" s="468">
        <v>154.363721</v>
      </c>
      <c r="G152" s="468">
        <f>F152</f>
        <v>154.363721</v>
      </c>
      <c r="H152" s="416">
        <v>163.18</v>
      </c>
      <c r="I152" s="70">
        <v>163.18</v>
      </c>
      <c r="J152" s="75">
        <f>229604022/1000000</f>
        <v>229.60402199999999</v>
      </c>
      <c r="K152" s="22" t="s">
        <v>78</v>
      </c>
      <c r="L152" s="75">
        <v>211</v>
      </c>
      <c r="M152" s="10"/>
      <c r="N152" s="10"/>
      <c r="O152" s="1"/>
      <c r="P152" s="1"/>
    </row>
    <row r="153" spans="2:16" ht="17.5" x14ac:dyDescent="0.45">
      <c r="B153" s="22" t="s">
        <v>76</v>
      </c>
      <c r="C153" s="848">
        <v>91.18</v>
      </c>
      <c r="D153" s="848">
        <v>21.315000000000001</v>
      </c>
      <c r="E153" s="468">
        <v>21.215</v>
      </c>
      <c r="F153" s="468">
        <v>24.029999</v>
      </c>
      <c r="G153" s="468">
        <f>F153+209.494551</f>
        <v>233.52455</v>
      </c>
      <c r="H153" s="468">
        <v>23.397998999999999</v>
      </c>
      <c r="I153" s="70">
        <v>251.71</v>
      </c>
      <c r="J153" s="75">
        <f>280001859.701942/1000000</f>
        <v>280.00185970194201</v>
      </c>
      <c r="K153" s="22" t="s">
        <v>76</v>
      </c>
      <c r="L153" s="75">
        <v>400.61</v>
      </c>
      <c r="M153" s="10"/>
      <c r="N153" s="10"/>
      <c r="O153" s="1"/>
    </row>
    <row r="154" spans="2:16" ht="17.5" x14ac:dyDescent="0.45">
      <c r="B154" s="22" t="s">
        <v>92</v>
      </c>
      <c r="C154" s="847">
        <v>6.8651000000000004E-2</v>
      </c>
      <c r="D154" s="847">
        <v>0.66010199999999997</v>
      </c>
      <c r="E154" s="468">
        <v>0.66010199999999997</v>
      </c>
      <c r="F154" s="468">
        <v>0.65482099999999999</v>
      </c>
      <c r="G154" s="468">
        <f>F154</f>
        <v>0.65482099999999999</v>
      </c>
      <c r="H154" s="416">
        <v>0.65</v>
      </c>
      <c r="I154" s="70">
        <v>0.65</v>
      </c>
      <c r="J154" s="75">
        <v>0.65</v>
      </c>
      <c r="K154" s="22" t="s">
        <v>82</v>
      </c>
      <c r="L154" s="75">
        <v>12.39</v>
      </c>
      <c r="N154" s="10"/>
      <c r="O154" s="1"/>
    </row>
    <row r="155" spans="2:16" ht="18" thickBot="1" x14ac:dyDescent="0.5">
      <c r="B155" s="24" t="s">
        <v>54</v>
      </c>
      <c r="C155" s="860">
        <f t="shared" ref="C155:H155" si="0">SUM(C152:C154)</f>
        <v>325.56510299999997</v>
      </c>
      <c r="D155" s="860">
        <f t="shared" si="0"/>
        <v>199.63416799999999</v>
      </c>
      <c r="E155" s="860">
        <f t="shared" si="0"/>
        <v>201.96106900000001</v>
      </c>
      <c r="F155" s="860">
        <f t="shared" si="0"/>
        <v>179.048541</v>
      </c>
      <c r="G155" s="860">
        <f t="shared" si="0"/>
        <v>388.54309200000006</v>
      </c>
      <c r="H155" s="861">
        <f t="shared" si="0"/>
        <v>187.22799900000001</v>
      </c>
      <c r="I155" s="860">
        <v>415.54</v>
      </c>
      <c r="J155" s="862">
        <f>SUM(J152:J154)</f>
        <v>510.25588170194197</v>
      </c>
      <c r="K155" s="22" t="s">
        <v>92</v>
      </c>
      <c r="L155" s="75">
        <v>0.65</v>
      </c>
      <c r="M155" s="10"/>
      <c r="N155" s="10"/>
    </row>
    <row r="156" spans="2:16" ht="18" thickBot="1" x14ac:dyDescent="0.5">
      <c r="B156" s="78"/>
      <c r="E156" s="172"/>
      <c r="I156" s="79"/>
      <c r="J156" s="80"/>
      <c r="K156" s="24" t="s">
        <v>54</v>
      </c>
      <c r="L156" s="77">
        <v>624.65</v>
      </c>
      <c r="M156" s="10"/>
      <c r="N156" s="10"/>
    </row>
    <row r="157" spans="2:16" ht="17.5" x14ac:dyDescent="0.45">
      <c r="B157" s="19"/>
      <c r="C157" s="19"/>
      <c r="E157" s="10"/>
      <c r="F157" s="20"/>
      <c r="G157" s="20"/>
      <c r="H157" s="20"/>
      <c r="I157" s="20"/>
      <c r="J157" s="20"/>
      <c r="K157" s="10"/>
      <c r="L157" s="10"/>
    </row>
    <row r="158" spans="2:16" s="601" customFormat="1" ht="17.5" x14ac:dyDescent="0.45">
      <c r="B158" s="657" t="s">
        <v>31</v>
      </c>
      <c r="C158" s="657"/>
      <c r="D158" s="604"/>
      <c r="E158" s="604"/>
      <c r="F158" s="604"/>
      <c r="G158" s="604"/>
      <c r="H158" s="604"/>
      <c r="I158" s="604"/>
      <c r="J158" s="604"/>
      <c r="K158" s="604"/>
      <c r="L158" s="658"/>
    </row>
    <row r="159" spans="2:16" ht="6" customHeight="1" thickBot="1" x14ac:dyDescent="0.5">
      <c r="B159" s="19"/>
      <c r="C159" s="19"/>
      <c r="D159" s="20"/>
      <c r="E159" s="10"/>
      <c r="F159" s="20"/>
      <c r="G159" s="20"/>
      <c r="H159" s="20"/>
      <c r="I159" s="20"/>
      <c r="J159" s="20"/>
      <c r="K159" s="20"/>
      <c r="L159" s="10"/>
    </row>
    <row r="160" spans="2:16" ht="32" x14ac:dyDescent="0.45">
      <c r="B160" s="878" t="s">
        <v>75</v>
      </c>
      <c r="C160" s="878" t="s">
        <v>43</v>
      </c>
      <c r="D160" s="876" t="s">
        <v>91</v>
      </c>
      <c r="E160" s="878" t="s">
        <v>44</v>
      </c>
      <c r="F160" s="876" t="s">
        <v>45</v>
      </c>
      <c r="G160" s="876" t="s">
        <v>46</v>
      </c>
      <c r="H160" s="876" t="s">
        <v>47</v>
      </c>
      <c r="I160" s="878" t="s">
        <v>48</v>
      </c>
      <c r="J160" s="878" t="s">
        <v>49</v>
      </c>
      <c r="K160" s="878" t="s">
        <v>75</v>
      </c>
      <c r="L160" s="878" t="s">
        <v>50</v>
      </c>
      <c r="M160" s="10"/>
      <c r="N160" s="10"/>
    </row>
    <row r="161" spans="2:16" ht="17.5" x14ac:dyDescent="0.45">
      <c r="B161" s="22" t="s">
        <v>78</v>
      </c>
      <c r="C161" s="291">
        <v>0.74764600000000003</v>
      </c>
      <c r="D161" s="847">
        <v>0.74946500000000005</v>
      </c>
      <c r="E161" s="291">
        <v>1.202723</v>
      </c>
      <c r="F161" s="291">
        <v>0.74146699999999999</v>
      </c>
      <c r="G161" s="291">
        <f>F161</f>
        <v>0.74146699999999999</v>
      </c>
      <c r="H161" s="291">
        <v>1.25</v>
      </c>
      <c r="I161" s="75">
        <v>1.25</v>
      </c>
      <c r="J161" s="75">
        <f>2992369.39/1000000</f>
        <v>2.9923693900000004</v>
      </c>
      <c r="K161" s="22" t="s">
        <v>78</v>
      </c>
      <c r="L161" s="75">
        <v>2.87</v>
      </c>
      <c r="M161" s="10"/>
      <c r="N161" s="10"/>
      <c r="O161" s="1"/>
    </row>
    <row r="162" spans="2:16" ht="17.5" x14ac:dyDescent="0.45">
      <c r="B162" s="22" t="s">
        <v>76</v>
      </c>
      <c r="C162" s="291">
        <v>0</v>
      </c>
      <c r="D162" s="848">
        <v>0</v>
      </c>
      <c r="E162" s="291">
        <v>0</v>
      </c>
      <c r="F162" s="291">
        <v>0.48</v>
      </c>
      <c r="G162" s="291">
        <f>F162+10.241301</f>
        <v>10.721301</v>
      </c>
      <c r="H162" s="291">
        <v>0.48</v>
      </c>
      <c r="I162" s="75">
        <v>10.88</v>
      </c>
      <c r="J162" s="75">
        <f>6881980/1000000</f>
        <v>6.8819800000000004</v>
      </c>
      <c r="K162" s="22" t="s">
        <v>76</v>
      </c>
      <c r="L162" s="75">
        <v>8.9499999999999993</v>
      </c>
      <c r="M162" s="10"/>
      <c r="N162" s="10"/>
      <c r="O162" s="1"/>
    </row>
    <row r="163" spans="2:16" ht="17.5" x14ac:dyDescent="0.45">
      <c r="B163" s="22" t="s">
        <v>92</v>
      </c>
      <c r="C163" s="291">
        <v>0.28390599999999999</v>
      </c>
      <c r="D163" s="847">
        <v>0.29306399999999999</v>
      </c>
      <c r="E163" s="291">
        <v>0.29306399999999999</v>
      </c>
      <c r="F163" s="291">
        <v>0.28390599999999999</v>
      </c>
      <c r="G163" s="291">
        <f>F163</f>
        <v>0.28390599999999999</v>
      </c>
      <c r="H163" s="291">
        <v>0</v>
      </c>
      <c r="I163" s="75">
        <v>0</v>
      </c>
      <c r="J163" s="75">
        <f>283905.75/1000000</f>
        <v>0.28390575000000001</v>
      </c>
      <c r="K163" s="22" t="s">
        <v>82</v>
      </c>
      <c r="L163" s="75">
        <v>0.46</v>
      </c>
      <c r="M163" s="10"/>
      <c r="N163" s="10"/>
      <c r="O163" s="1"/>
    </row>
    <row r="164" spans="2:16" ht="18" thickBot="1" x14ac:dyDescent="0.5">
      <c r="B164" s="24" t="s">
        <v>54</v>
      </c>
      <c r="C164" s="417">
        <f>SUM(C161:C163)</f>
        <v>1.031552</v>
      </c>
      <c r="D164" s="417">
        <f>SUM(D161:D163)</f>
        <v>1.042529</v>
      </c>
      <c r="E164" s="417">
        <f>SUM(E161:E163)</f>
        <v>1.495787</v>
      </c>
      <c r="F164" s="417">
        <f>SUM(F161:F163)</f>
        <v>1.5053730000000001</v>
      </c>
      <c r="G164" s="84">
        <f>SUM(G161:G163)</f>
        <v>11.746674000000001</v>
      </c>
      <c r="H164" s="417">
        <v>1.25</v>
      </c>
      <c r="I164" s="84">
        <v>12.13</v>
      </c>
      <c r="J164" s="84">
        <f>SUM(J161:J163)</f>
        <v>10.158255140000001</v>
      </c>
      <c r="K164" s="22" t="s">
        <v>92</v>
      </c>
      <c r="L164" s="75">
        <v>0.28000000000000003</v>
      </c>
      <c r="M164" s="10"/>
      <c r="N164" s="10"/>
      <c r="O164" s="1"/>
      <c r="P164" s="1"/>
    </row>
    <row r="165" spans="2:16" ht="18" thickBot="1" x14ac:dyDescent="0.5">
      <c r="B165" s="78"/>
      <c r="E165" s="172"/>
      <c r="I165" s="79"/>
      <c r="J165" s="80"/>
      <c r="K165" s="24" t="s">
        <v>54</v>
      </c>
      <c r="L165" s="77">
        <v>12.56</v>
      </c>
      <c r="M165" s="10"/>
      <c r="N165" s="10"/>
      <c r="O165" s="1"/>
      <c r="P165" s="1"/>
    </row>
    <row r="166" spans="2:16" ht="17.5" x14ac:dyDescent="0.45">
      <c r="B166" s="19"/>
      <c r="C166" s="19"/>
      <c r="D166" s="20"/>
      <c r="E166" s="20"/>
      <c r="F166" s="20"/>
      <c r="G166" s="20"/>
      <c r="H166" s="20"/>
      <c r="I166" s="20"/>
      <c r="J166" s="20"/>
      <c r="K166" s="20"/>
      <c r="L166" s="20"/>
    </row>
    <row r="167" spans="2:16" s="601" customFormat="1" ht="17.5" x14ac:dyDescent="0.45">
      <c r="B167" s="657" t="s">
        <v>33</v>
      </c>
      <c r="C167" s="657"/>
      <c r="D167" s="604"/>
      <c r="E167" s="604"/>
      <c r="F167" s="604"/>
      <c r="G167" s="604"/>
      <c r="H167" s="604"/>
      <c r="I167" s="604"/>
      <c r="J167" s="604"/>
      <c r="K167" s="604"/>
      <c r="L167" s="658"/>
    </row>
    <row r="168" spans="2:16" ht="6" customHeight="1" thickBot="1" x14ac:dyDescent="0.5">
      <c r="B168" s="19"/>
      <c r="C168" s="19"/>
      <c r="D168" s="20"/>
      <c r="E168" s="10"/>
      <c r="F168" s="20"/>
      <c r="G168" s="20"/>
      <c r="H168" s="20"/>
      <c r="I168" s="20"/>
      <c r="J168" s="20"/>
      <c r="K168" s="20"/>
      <c r="L168" s="10"/>
    </row>
    <row r="169" spans="2:16" ht="32" x14ac:dyDescent="0.45">
      <c r="B169" s="878" t="s">
        <v>75</v>
      </c>
      <c r="C169" s="878" t="s">
        <v>43</v>
      </c>
      <c r="D169" s="876" t="s">
        <v>91</v>
      </c>
      <c r="E169" s="878" t="s">
        <v>44</v>
      </c>
      <c r="F169" s="876" t="s">
        <v>45</v>
      </c>
      <c r="G169" s="876" t="s">
        <v>46</v>
      </c>
      <c r="H169" s="876" t="s">
        <v>47</v>
      </c>
      <c r="I169" s="878" t="s">
        <v>48</v>
      </c>
      <c r="J169" s="878" t="s">
        <v>49</v>
      </c>
      <c r="K169" s="878" t="s">
        <v>75</v>
      </c>
      <c r="L169" s="878" t="s">
        <v>50</v>
      </c>
      <c r="M169" s="20"/>
      <c r="N169" s="20"/>
      <c r="O169" s="1"/>
    </row>
    <row r="170" spans="2:16" ht="17.5" x14ac:dyDescent="0.45">
      <c r="B170" s="22" t="s">
        <v>78</v>
      </c>
      <c r="C170" s="418">
        <v>453.30626999999998</v>
      </c>
      <c r="D170" s="418">
        <v>480.36890199999999</v>
      </c>
      <c r="E170" s="418">
        <v>478.51743699999997</v>
      </c>
      <c r="F170" s="418">
        <v>443.87770999999998</v>
      </c>
      <c r="G170" s="418">
        <v>443.87770999999998</v>
      </c>
      <c r="H170" s="418">
        <v>97.3</v>
      </c>
      <c r="I170" s="81">
        <v>97.3</v>
      </c>
      <c r="J170" s="81">
        <f>91639466.9428571/1000000</f>
        <v>91.639466942857098</v>
      </c>
      <c r="K170" s="22" t="s">
        <v>78</v>
      </c>
      <c r="L170" s="83">
        <v>80.77</v>
      </c>
      <c r="M170" s="20"/>
      <c r="N170" s="20"/>
      <c r="O170" s="1"/>
    </row>
    <row r="171" spans="2:16" ht="17.5" x14ac:dyDescent="0.45">
      <c r="B171" s="22" t="s">
        <v>76</v>
      </c>
      <c r="C171" s="418">
        <v>0</v>
      </c>
      <c r="D171" s="418">
        <v>0</v>
      </c>
      <c r="E171" s="418">
        <v>0</v>
      </c>
      <c r="F171" s="418">
        <v>0</v>
      </c>
      <c r="G171" s="418">
        <v>31.711199799999999</v>
      </c>
      <c r="H171" s="418">
        <v>0</v>
      </c>
      <c r="I171" s="81">
        <v>29</v>
      </c>
      <c r="J171" s="81">
        <f>25003026.9427113/1000000</f>
        <v>25.003026942711301</v>
      </c>
      <c r="K171" s="22" t="s">
        <v>76</v>
      </c>
      <c r="L171" s="83">
        <v>58.84</v>
      </c>
      <c r="M171" s="20"/>
      <c r="N171" s="20"/>
      <c r="O171" s="1"/>
    </row>
    <row r="172" spans="2:16" ht="18" thickBot="1" x14ac:dyDescent="0.5">
      <c r="B172" s="24" t="s">
        <v>54</v>
      </c>
      <c r="C172" s="82">
        <f>SUM(C170:C171)</f>
        <v>453.30626999999998</v>
      </c>
      <c r="D172" s="82">
        <f>SUM(D170:D171)</f>
        <v>480.36890199999999</v>
      </c>
      <c r="E172" s="82">
        <f>SUM(E170:E171)</f>
        <v>478.51743699999997</v>
      </c>
      <c r="F172" s="82">
        <f>SUM(F170:F171)</f>
        <v>443.87770999999998</v>
      </c>
      <c r="G172" s="82">
        <f>SUM(G170:G171)</f>
        <v>475.58890979999995</v>
      </c>
      <c r="H172" s="419">
        <v>97.3</v>
      </c>
      <c r="I172" s="82">
        <v>126.2</v>
      </c>
      <c r="J172" s="82">
        <f>SUM(J170:J171)</f>
        <v>116.6424938855684</v>
      </c>
      <c r="K172" s="22" t="s">
        <v>82</v>
      </c>
      <c r="L172" s="83">
        <v>3.26</v>
      </c>
      <c r="M172" s="20"/>
      <c r="N172" s="20"/>
      <c r="O172" s="1"/>
    </row>
    <row r="173" spans="2:16" ht="18" thickBot="1" x14ac:dyDescent="0.5">
      <c r="B173" s="10"/>
      <c r="E173" s="10"/>
      <c r="J173" s="10"/>
      <c r="K173" s="24" t="s">
        <v>54</v>
      </c>
      <c r="L173" s="84">
        <v>142.87</v>
      </c>
      <c r="M173" s="20"/>
      <c r="N173" s="20"/>
      <c r="O173" s="1"/>
    </row>
    <row r="174" spans="2:16" ht="17.5" x14ac:dyDescent="0.45">
      <c r="B174" s="10"/>
      <c r="C174" s="10"/>
      <c r="D174" s="19"/>
      <c r="E174" s="48"/>
      <c r="F174" s="49"/>
      <c r="G174" s="20"/>
      <c r="H174" s="20"/>
      <c r="I174" s="20"/>
      <c r="J174" s="20"/>
      <c r="K174" s="20"/>
      <c r="L174" s="20"/>
      <c r="M174" s="1"/>
    </row>
    <row r="175" spans="2:16" s="601" customFormat="1" ht="17.5" x14ac:dyDescent="0.45">
      <c r="B175" s="657" t="s">
        <v>35</v>
      </c>
      <c r="C175" s="657"/>
      <c r="D175" s="604"/>
      <c r="E175" s="604"/>
      <c r="F175" s="604"/>
      <c r="G175" s="604"/>
      <c r="H175" s="604"/>
      <c r="I175" s="604"/>
      <c r="J175" s="604"/>
      <c r="K175" s="604"/>
      <c r="L175" s="658"/>
    </row>
    <row r="176" spans="2:16" ht="6" customHeight="1" thickBot="1" x14ac:dyDescent="0.5">
      <c r="B176" s="19"/>
      <c r="C176" s="19"/>
      <c r="D176" s="20"/>
      <c r="E176" s="10"/>
      <c r="F176" s="20"/>
      <c r="G176" s="20"/>
      <c r="H176" s="20"/>
      <c r="I176" s="20"/>
      <c r="J176" s="20"/>
      <c r="K176" s="20"/>
      <c r="L176" s="10"/>
    </row>
    <row r="177" spans="2:14" ht="32" x14ac:dyDescent="0.45">
      <c r="B177" s="876" t="s">
        <v>75</v>
      </c>
      <c r="C177" s="876" t="s">
        <v>43</v>
      </c>
      <c r="D177" s="876" t="s">
        <v>91</v>
      </c>
      <c r="E177" s="876" t="s">
        <v>44</v>
      </c>
      <c r="F177" s="876" t="s">
        <v>45</v>
      </c>
      <c r="G177" s="876" t="s">
        <v>46</v>
      </c>
      <c r="H177" s="876" t="s">
        <v>47</v>
      </c>
      <c r="I177" s="876" t="s">
        <v>48</v>
      </c>
      <c r="J177" s="876" t="s">
        <v>49</v>
      </c>
      <c r="K177" s="874" t="s">
        <v>75</v>
      </c>
      <c r="L177" s="662" t="s">
        <v>50</v>
      </c>
      <c r="M177" s="20"/>
      <c r="N177" s="20"/>
    </row>
    <row r="178" spans="2:14" ht="17.5" x14ac:dyDescent="0.45">
      <c r="B178" s="22" t="s">
        <v>78</v>
      </c>
      <c r="C178" s="420">
        <v>6.7000000000000002E-4</v>
      </c>
      <c r="D178" s="863">
        <v>6.7000000000000002E-4</v>
      </c>
      <c r="E178" s="420">
        <v>6.7000000000000002E-4</v>
      </c>
      <c r="F178" s="420">
        <v>6.7000000000000002E-4</v>
      </c>
      <c r="G178" s="420">
        <v>6.7000000000000002E-4</v>
      </c>
      <c r="H178" s="420">
        <v>2E-3</v>
      </c>
      <c r="I178" s="135">
        <v>2E-3</v>
      </c>
      <c r="J178" s="81">
        <f>29810/1000000</f>
        <v>2.981E-2</v>
      </c>
      <c r="K178" s="422" t="s">
        <v>78</v>
      </c>
      <c r="L178" s="424">
        <v>0.04</v>
      </c>
      <c r="M178" s="20"/>
      <c r="N178" s="20"/>
    </row>
    <row r="179" spans="2:14" ht="17.5" x14ac:dyDescent="0.45">
      <c r="B179" s="22" t="s">
        <v>76</v>
      </c>
      <c r="C179" s="420">
        <v>0</v>
      </c>
      <c r="D179" s="420">
        <v>0</v>
      </c>
      <c r="E179" s="420">
        <v>0</v>
      </c>
      <c r="F179" s="420">
        <v>0</v>
      </c>
      <c r="G179" s="420">
        <v>0</v>
      </c>
      <c r="H179" s="420">
        <v>0</v>
      </c>
      <c r="I179" s="135" t="s">
        <v>68</v>
      </c>
      <c r="J179" s="81"/>
      <c r="K179" s="422" t="s">
        <v>76</v>
      </c>
      <c r="L179" s="425" t="s">
        <v>68</v>
      </c>
      <c r="M179" s="20"/>
      <c r="N179" s="20"/>
    </row>
    <row r="180" spans="2:14" ht="18" thickBot="1" x14ac:dyDescent="0.5">
      <c r="B180" s="24" t="s">
        <v>54</v>
      </c>
      <c r="C180" s="136">
        <f>SUM(C178:C179)</f>
        <v>6.7000000000000002E-4</v>
      </c>
      <c r="D180" s="136">
        <f>SUM(D178:D179)</f>
        <v>6.7000000000000002E-4</v>
      </c>
      <c r="E180" s="136">
        <f>SUM(E178:E179)</f>
        <v>6.7000000000000002E-4</v>
      </c>
      <c r="F180" s="136">
        <f>SUM(F178:F179)</f>
        <v>6.7000000000000002E-4</v>
      </c>
      <c r="G180" s="136">
        <f>SUM(G178:G179)</f>
        <v>6.7000000000000002E-4</v>
      </c>
      <c r="H180" s="421">
        <f>H178</f>
        <v>2E-3</v>
      </c>
      <c r="I180" s="136">
        <f>SUM(I178:I179)</f>
        <v>2E-3</v>
      </c>
      <c r="J180" s="82">
        <f>SUM(J178:J179)</f>
        <v>2.981E-2</v>
      </c>
      <c r="K180" s="422" t="s">
        <v>82</v>
      </c>
      <c r="L180" s="425" t="s">
        <v>68</v>
      </c>
      <c r="M180" s="20"/>
      <c r="N180" s="20"/>
    </row>
    <row r="181" spans="2:14" ht="18" thickBot="1" x14ac:dyDescent="0.5">
      <c r="B181" s="10"/>
      <c r="E181" s="10"/>
      <c r="I181" s="10"/>
      <c r="J181" s="24" t="s">
        <v>54</v>
      </c>
      <c r="K181" s="423">
        <v>0.04</v>
      </c>
      <c r="L181" s="426"/>
      <c r="M181" s="20"/>
    </row>
    <row r="182" spans="2:14" s="601" customFormat="1" ht="17.5" x14ac:dyDescent="0.45">
      <c r="B182" s="657" t="s">
        <v>93</v>
      </c>
      <c r="C182" s="657"/>
      <c r="D182" s="604"/>
      <c r="E182" s="604"/>
      <c r="F182" s="604"/>
      <c r="G182" s="604"/>
      <c r="H182" s="604"/>
      <c r="I182" s="604"/>
      <c r="J182" s="604"/>
      <c r="K182" s="604"/>
      <c r="L182" s="658"/>
    </row>
    <row r="183" spans="2:14" ht="9" customHeight="1" thickBot="1" x14ac:dyDescent="0.5">
      <c r="B183" s="10"/>
      <c r="D183" s="10"/>
      <c r="H183" s="10"/>
      <c r="I183" s="294"/>
      <c r="J183" s="840"/>
      <c r="K183" s="171"/>
      <c r="L183" s="20"/>
      <c r="M183" s="20"/>
    </row>
    <row r="184" spans="2:14" ht="32" x14ac:dyDescent="0.45">
      <c r="B184" s="878" t="s">
        <v>56</v>
      </c>
      <c r="C184" s="878" t="s">
        <v>94</v>
      </c>
      <c r="D184" s="878" t="s">
        <v>95</v>
      </c>
      <c r="E184" s="878" t="s">
        <v>96</v>
      </c>
      <c r="F184" s="878" t="s">
        <v>97</v>
      </c>
      <c r="G184" s="878" t="s">
        <v>98</v>
      </c>
      <c r="H184" s="878" t="s">
        <v>99</v>
      </c>
      <c r="I184" s="294"/>
      <c r="J184" s="840"/>
      <c r="K184" s="171"/>
      <c r="L184" s="20"/>
      <c r="M184" s="20"/>
    </row>
    <row r="185" spans="2:14" ht="17.5" x14ac:dyDescent="0.45">
      <c r="B185" s="912" t="s">
        <v>43</v>
      </c>
      <c r="C185" s="879" t="s">
        <v>78</v>
      </c>
      <c r="D185" s="841">
        <v>0.23396117799759134</v>
      </c>
      <c r="E185" s="841">
        <v>0.21617149313572515</v>
      </c>
      <c r="F185" s="841">
        <v>9.2282502177769371E-2</v>
      </c>
      <c r="G185" s="841">
        <v>0.34789125028982043</v>
      </c>
      <c r="H185" s="841">
        <v>0.10969357639909369</v>
      </c>
      <c r="I185" s="294"/>
      <c r="J185" s="840"/>
      <c r="K185" s="171"/>
      <c r="L185" s="20"/>
      <c r="M185" s="20"/>
    </row>
    <row r="186" spans="2:14" ht="17.5" x14ac:dyDescent="0.45">
      <c r="B186" s="912"/>
      <c r="C186" s="879" t="s">
        <v>76</v>
      </c>
      <c r="D186" s="841">
        <v>5.3234774475894149E-2</v>
      </c>
      <c r="E186" s="841">
        <v>0.12044175952282651</v>
      </c>
      <c r="F186" s="841">
        <v>0.3456202579395824</v>
      </c>
      <c r="G186" s="841">
        <v>0.48070320806169692</v>
      </c>
      <c r="H186" s="841">
        <v>0</v>
      </c>
      <c r="I186" s="294"/>
      <c r="J186" s="840"/>
      <c r="K186" s="171"/>
      <c r="L186" s="20"/>
      <c r="M186" s="20"/>
    </row>
    <row r="187" spans="2:14" ht="18" thickBot="1" x14ac:dyDescent="0.5">
      <c r="B187" s="913"/>
      <c r="C187" s="843" t="s">
        <v>80</v>
      </c>
      <c r="D187" s="842">
        <v>0.18334529970891236</v>
      </c>
      <c r="E187" s="842">
        <v>0.18936055433133278</v>
      </c>
      <c r="F187" s="842">
        <v>0.16323457537623559</v>
      </c>
      <c r="G187" s="842">
        <v>0.38508777364704755</v>
      </c>
      <c r="H187" s="844">
        <v>7.8971796936471564E-2</v>
      </c>
      <c r="I187" s="294"/>
      <c r="J187" s="840"/>
      <c r="K187" s="171"/>
      <c r="L187" s="20"/>
      <c r="M187" s="20"/>
    </row>
    <row r="188" spans="2:14" ht="17.5" x14ac:dyDescent="0.45">
      <c r="B188" s="912" t="s">
        <v>44</v>
      </c>
      <c r="C188" s="879" t="s">
        <v>78</v>
      </c>
      <c r="D188" s="841">
        <v>0.38312086288623204</v>
      </c>
      <c r="E188" s="841">
        <v>0.28589881900252256</v>
      </c>
      <c r="F188" s="841">
        <v>9.3639906901470574E-2</v>
      </c>
      <c r="G188" s="841">
        <v>0.15011216629570087</v>
      </c>
      <c r="H188" s="841">
        <v>8.7228244914074049E-2</v>
      </c>
      <c r="I188" s="294"/>
      <c r="J188" s="840"/>
      <c r="K188" s="171"/>
      <c r="L188" s="20"/>
      <c r="M188" s="20"/>
    </row>
    <row r="189" spans="2:14" ht="17.5" x14ac:dyDescent="0.45">
      <c r="B189" s="912"/>
      <c r="C189" s="879" t="s">
        <v>76</v>
      </c>
      <c r="D189" s="841">
        <v>0.20129650998071794</v>
      </c>
      <c r="E189" s="841">
        <v>0</v>
      </c>
      <c r="F189" s="841">
        <v>0.17176902422542811</v>
      </c>
      <c r="G189" s="841">
        <v>0.62693446579385392</v>
      </c>
      <c r="H189" s="841">
        <v>0</v>
      </c>
      <c r="I189" s="294"/>
      <c r="J189" s="840"/>
      <c r="K189" s="171"/>
      <c r="L189" s="20"/>
      <c r="M189" s="20"/>
    </row>
    <row r="190" spans="2:14" ht="18" thickBot="1" x14ac:dyDescent="0.5">
      <c r="B190" s="913"/>
      <c r="C190" s="843" t="s">
        <v>80</v>
      </c>
      <c r="D190" s="842">
        <v>0.35910668523851458</v>
      </c>
      <c r="E190" s="842">
        <v>0.24813916294387059</v>
      </c>
      <c r="F190" s="842">
        <v>0.10395869243759646</v>
      </c>
      <c r="G190" s="842">
        <v>0.21308775357851131</v>
      </c>
      <c r="H190" s="844">
        <v>7.5707705801506986E-2</v>
      </c>
      <c r="I190" s="294"/>
      <c r="J190" s="840"/>
      <c r="K190" s="171"/>
      <c r="L190" s="20"/>
      <c r="M190" s="20"/>
    </row>
    <row r="191" spans="2:14" ht="17.5" x14ac:dyDescent="0.45">
      <c r="B191" s="10"/>
      <c r="C191" s="10"/>
      <c r="D191" s="20"/>
      <c r="E191" s="20"/>
      <c r="F191" s="20"/>
      <c r="G191" s="20"/>
      <c r="H191" s="20"/>
      <c r="I191" s="20"/>
      <c r="J191" s="20"/>
      <c r="K191" s="20"/>
      <c r="L191" s="20"/>
      <c r="M191" s="1"/>
    </row>
    <row r="192" spans="2:14" s="601" customFormat="1" ht="21" x14ac:dyDescent="0.45">
      <c r="B192" s="659" t="s">
        <v>6</v>
      </c>
      <c r="C192" s="659"/>
      <c r="D192" s="604"/>
      <c r="E192" s="604"/>
      <c r="F192" s="604"/>
      <c r="G192" s="604"/>
      <c r="H192" s="604"/>
      <c r="I192" s="604"/>
      <c r="J192" s="604"/>
      <c r="K192" s="658"/>
      <c r="L192" s="658"/>
    </row>
    <row r="193" spans="2:16" ht="6" customHeight="1" x14ac:dyDescent="0.45">
      <c r="B193" s="19"/>
      <c r="C193" s="19"/>
      <c r="D193" s="20"/>
      <c r="E193" s="20"/>
      <c r="F193" s="20"/>
      <c r="G193" s="20"/>
      <c r="H193" s="20"/>
      <c r="I193" s="20"/>
      <c r="J193" s="20"/>
      <c r="K193" s="10"/>
      <c r="L193" s="10"/>
    </row>
    <row r="194" spans="2:16" s="601" customFormat="1" ht="17.5" x14ac:dyDescent="0.45">
      <c r="B194" s="817" t="s">
        <v>100</v>
      </c>
      <c r="C194" s="657"/>
      <c r="D194" s="604"/>
      <c r="E194" s="604"/>
      <c r="F194" s="604"/>
      <c r="G194" s="604"/>
      <c r="H194" s="604"/>
      <c r="I194" s="604"/>
      <c r="J194" s="604"/>
      <c r="K194" s="604"/>
      <c r="L194" s="658"/>
    </row>
    <row r="195" spans="2:16" ht="6" customHeight="1" thickBot="1" x14ac:dyDescent="0.5">
      <c r="B195" s="19"/>
      <c r="C195" s="19"/>
      <c r="D195" s="20"/>
      <c r="E195" s="10"/>
      <c r="F195" s="20"/>
      <c r="G195" s="20"/>
      <c r="H195" s="20"/>
      <c r="I195" s="20"/>
      <c r="J195" s="20"/>
      <c r="K195" s="20"/>
      <c r="L195" s="10"/>
    </row>
    <row r="196" spans="2:16" ht="32" x14ac:dyDescent="0.45">
      <c r="B196" s="878" t="s">
        <v>75</v>
      </c>
      <c r="C196" s="878" t="s">
        <v>43</v>
      </c>
      <c r="D196" s="878" t="s">
        <v>91</v>
      </c>
      <c r="E196" s="878" t="s">
        <v>44</v>
      </c>
      <c r="F196" s="876" t="s">
        <v>45</v>
      </c>
      <c r="G196" s="874" t="s">
        <v>46</v>
      </c>
      <c r="H196" s="662" t="s">
        <v>47</v>
      </c>
      <c r="I196" s="666" t="s">
        <v>101</v>
      </c>
      <c r="J196" s="666" t="s">
        <v>49</v>
      </c>
      <c r="K196" s="878" t="s">
        <v>75</v>
      </c>
      <c r="L196" s="666" t="s">
        <v>50</v>
      </c>
      <c r="M196" s="10"/>
      <c r="N196" s="10"/>
    </row>
    <row r="197" spans="2:16" ht="16" x14ac:dyDescent="0.35">
      <c r="B197" s="167" t="s">
        <v>102</v>
      </c>
      <c r="C197" s="786">
        <v>38.795000000000002</v>
      </c>
      <c r="D197" s="786">
        <v>41.189</v>
      </c>
      <c r="E197" s="235">
        <f>38.402+2.763</f>
        <v>41.164999999999999</v>
      </c>
      <c r="F197" s="427">
        <f>42.876+2.75</f>
        <v>45.625999999999998</v>
      </c>
      <c r="G197" s="431">
        <f>53.312+2.75</f>
        <v>56.061999999999998</v>
      </c>
      <c r="H197" s="427">
        <f>75.77+2.744</f>
        <v>78.513999999999996</v>
      </c>
      <c r="I197" s="169">
        <v>78.825000000000003</v>
      </c>
      <c r="J197" s="169">
        <f>90751.2851063145/1000</f>
        <v>90.751285106314512</v>
      </c>
      <c r="K197" s="165" t="s">
        <v>102</v>
      </c>
      <c r="L197" s="169">
        <v>95.709614207088251</v>
      </c>
    </row>
    <row r="198" spans="2:16" ht="16" x14ac:dyDescent="0.35">
      <c r="B198" s="167" t="s">
        <v>103</v>
      </c>
      <c r="C198" s="786">
        <v>2.9220000000000002</v>
      </c>
      <c r="D198" s="786">
        <v>1.1870000000000001</v>
      </c>
      <c r="E198" s="235">
        <v>1.3480000000000001</v>
      </c>
      <c r="F198" s="427">
        <v>2.0179999999999998</v>
      </c>
      <c r="G198" s="431">
        <v>11.83</v>
      </c>
      <c r="H198" s="427">
        <v>2.4</v>
      </c>
      <c r="I198" s="169">
        <v>10.349</v>
      </c>
      <c r="J198" s="169">
        <f>13520.8812105423/1000</f>
        <v>13.520881210542301</v>
      </c>
      <c r="K198" s="165" t="s">
        <v>103</v>
      </c>
      <c r="L198" s="169">
        <v>19.164962679190896</v>
      </c>
      <c r="O198" s="1"/>
    </row>
    <row r="199" spans="2:16" ht="17.5" x14ac:dyDescent="0.45">
      <c r="B199" s="167" t="s">
        <v>92</v>
      </c>
      <c r="C199" s="786">
        <v>0.64900000000000002</v>
      </c>
      <c r="D199" s="786">
        <v>0.96899999999999997</v>
      </c>
      <c r="E199" s="235">
        <v>1.0249999999999999</v>
      </c>
      <c r="F199" s="427">
        <v>1.244</v>
      </c>
      <c r="G199" s="431">
        <v>1.3220000000000001</v>
      </c>
      <c r="H199" s="427">
        <v>1.26</v>
      </c>
      <c r="I199" s="169">
        <v>1.26</v>
      </c>
      <c r="J199" s="169">
        <f>1428.00269107356/1000</f>
        <v>1.4280026910735601</v>
      </c>
      <c r="K199" s="165" t="s">
        <v>82</v>
      </c>
      <c r="L199" s="169">
        <v>4.456425775550791</v>
      </c>
      <c r="M199" s="10"/>
      <c r="N199" s="10"/>
      <c r="O199" s="1"/>
    </row>
    <row r="200" spans="2:16" ht="18" thickBot="1" x14ac:dyDescent="0.5">
      <c r="B200" s="168" t="s">
        <v>80</v>
      </c>
      <c r="C200" s="577">
        <f t="shared" ref="C200:D200" si="1">SUM(C197:C199)</f>
        <v>42.366</v>
      </c>
      <c r="D200" s="577">
        <f t="shared" si="1"/>
        <v>43.344999999999999</v>
      </c>
      <c r="E200" s="577">
        <f>SUM(E197:E199)</f>
        <v>43.537999999999997</v>
      </c>
      <c r="F200" s="170">
        <f>SUM(F197:F199)</f>
        <v>48.887999999999998</v>
      </c>
      <c r="G200" s="432">
        <f>SUM(G197:G199)</f>
        <v>69.213999999999999</v>
      </c>
      <c r="H200" s="432">
        <f>SUM(H197:H199)</f>
        <v>82.174000000000007</v>
      </c>
      <c r="I200" s="170">
        <f>SUM(I197:I199)</f>
        <v>90.434000000000012</v>
      </c>
      <c r="J200" s="170">
        <f>109679.350601713/1000</f>
        <v>109.679350601713</v>
      </c>
      <c r="K200" s="165" t="s">
        <v>92</v>
      </c>
      <c r="L200" s="169">
        <v>1.4282846742340927</v>
      </c>
      <c r="M200" s="10"/>
      <c r="N200" s="10"/>
    </row>
    <row r="201" spans="2:16" ht="18" thickBot="1" x14ac:dyDescent="0.5">
      <c r="B201" s="164"/>
      <c r="E201" s="164"/>
      <c r="F201" s="164"/>
      <c r="I201" s="164"/>
      <c r="J201" s="164"/>
      <c r="K201" s="166" t="s">
        <v>80</v>
      </c>
      <c r="L201" s="170">
        <f>SUM(L197:L200)</f>
        <v>120.75928733606402</v>
      </c>
      <c r="M201" s="10"/>
      <c r="N201" s="10"/>
    </row>
    <row r="202" spans="2:16" ht="17.5" x14ac:dyDescent="0.45">
      <c r="B202" s="128"/>
      <c r="J202" s="10"/>
      <c r="K202" s="10"/>
      <c r="L202" s="10"/>
    </row>
    <row r="203" spans="2:16" s="601" customFormat="1" ht="17.5" x14ac:dyDescent="0.45">
      <c r="B203" s="657" t="s">
        <v>10</v>
      </c>
      <c r="C203" s="657"/>
      <c r="D203" s="604"/>
      <c r="E203" s="604"/>
      <c r="F203" s="604"/>
      <c r="G203" s="604"/>
      <c r="H203" s="604"/>
      <c r="I203" s="604"/>
      <c r="J203" s="604"/>
      <c r="K203" s="604"/>
      <c r="L203" s="658"/>
    </row>
    <row r="204" spans="2:16" ht="6" customHeight="1" thickBot="1" x14ac:dyDescent="0.5">
      <c r="B204" s="19"/>
      <c r="C204" s="19"/>
      <c r="D204" s="20"/>
      <c r="E204" s="10"/>
      <c r="F204" s="20"/>
      <c r="G204" s="20"/>
      <c r="H204" s="20"/>
      <c r="I204" s="20"/>
      <c r="J204" s="20"/>
      <c r="K204" s="20"/>
      <c r="L204" s="10"/>
    </row>
    <row r="205" spans="2:16" ht="32" x14ac:dyDescent="0.45">
      <c r="B205" s="876" t="s">
        <v>75</v>
      </c>
      <c r="C205" s="876" t="s">
        <v>43</v>
      </c>
      <c r="D205" s="878" t="s">
        <v>91</v>
      </c>
      <c r="E205" s="819" t="s">
        <v>104</v>
      </c>
      <c r="F205" s="876" t="s">
        <v>45</v>
      </c>
      <c r="G205" s="874" t="s">
        <v>46</v>
      </c>
      <c r="H205" s="662" t="s">
        <v>47</v>
      </c>
      <c r="I205" s="662" t="s">
        <v>48</v>
      </c>
      <c r="J205" s="662" t="s">
        <v>49</v>
      </c>
      <c r="K205" s="876" t="s">
        <v>75</v>
      </c>
      <c r="L205" s="662" t="s">
        <v>50</v>
      </c>
      <c r="M205" s="10"/>
      <c r="N205" s="10"/>
    </row>
    <row r="206" spans="2:16" ht="17.5" x14ac:dyDescent="0.45">
      <c r="B206" s="165" t="s">
        <v>102</v>
      </c>
      <c r="C206" s="216">
        <v>732.55</v>
      </c>
      <c r="D206" s="216">
        <v>695.8</v>
      </c>
      <c r="E206" s="230">
        <v>708.14</v>
      </c>
      <c r="F206" s="427">
        <v>700.43</v>
      </c>
      <c r="G206" s="431">
        <v>737.76</v>
      </c>
      <c r="H206" s="427">
        <v>1000.21</v>
      </c>
      <c r="I206" s="173">
        <v>1040.69</v>
      </c>
      <c r="J206" s="173">
        <v>979.63456860444148</v>
      </c>
      <c r="K206" s="165" t="s">
        <v>102</v>
      </c>
      <c r="L206" s="173">
        <v>1178.8257906415058</v>
      </c>
      <c r="M206" s="10"/>
      <c r="N206" s="10"/>
    </row>
    <row r="207" spans="2:16" ht="17.5" x14ac:dyDescent="0.45">
      <c r="B207" s="165" t="s">
        <v>103</v>
      </c>
      <c r="C207" s="216">
        <v>33.25</v>
      </c>
      <c r="D207" s="216">
        <v>9.5500000000000007</v>
      </c>
      <c r="E207" s="230">
        <v>9.5500000000000007</v>
      </c>
      <c r="F207" s="427">
        <v>12.54</v>
      </c>
      <c r="G207" s="431">
        <v>144.13999999999999</v>
      </c>
      <c r="H207" s="427">
        <v>15.93</v>
      </c>
      <c r="I207" s="173">
        <v>96.92</v>
      </c>
      <c r="J207" s="173">
        <v>143.94282189249762</v>
      </c>
      <c r="K207" s="165" t="s">
        <v>103</v>
      </c>
      <c r="L207" s="173">
        <v>214.65268223176753</v>
      </c>
      <c r="M207" s="10"/>
      <c r="N207" s="10"/>
      <c r="O207" s="1"/>
    </row>
    <row r="208" spans="2:16" ht="17.5" x14ac:dyDescent="0.45">
      <c r="B208" s="165" t="s">
        <v>92</v>
      </c>
      <c r="C208" s="216">
        <v>5.87</v>
      </c>
      <c r="D208" s="216">
        <v>8.11</v>
      </c>
      <c r="E208" s="230">
        <v>8.3699999999999992</v>
      </c>
      <c r="F208" s="427">
        <v>9.6</v>
      </c>
      <c r="G208" s="431">
        <v>9.94</v>
      </c>
      <c r="H208" s="427">
        <v>9.67</v>
      </c>
      <c r="I208" s="173">
        <v>9.67</v>
      </c>
      <c r="J208" s="173">
        <v>12</v>
      </c>
      <c r="K208" s="165" t="s">
        <v>82</v>
      </c>
      <c r="L208" s="173">
        <v>64.571596846216934</v>
      </c>
      <c r="M208" s="10"/>
      <c r="N208" s="10"/>
      <c r="O208" s="1"/>
      <c r="P208" s="1"/>
    </row>
    <row r="209" spans="2:14" ht="17.5" x14ac:dyDescent="0.45">
      <c r="B209" s="166" t="s">
        <v>80</v>
      </c>
      <c r="C209" s="223">
        <f>SUM(C206:C208)</f>
        <v>771.67</v>
      </c>
      <c r="D209" s="888">
        <f>SUM(D206:D208)</f>
        <v>713.45999999999992</v>
      </c>
      <c r="E209" s="223">
        <f t="shared" ref="E209:I209" si="2">SUM(E206:E208)</f>
        <v>726.06</v>
      </c>
      <c r="F209" s="170">
        <f t="shared" si="2"/>
        <v>722.56999999999994</v>
      </c>
      <c r="G209" s="887">
        <f t="shared" si="2"/>
        <v>891.84</v>
      </c>
      <c r="H209" s="432">
        <f t="shared" si="2"/>
        <v>1025.81</v>
      </c>
      <c r="I209" s="174">
        <f t="shared" si="2"/>
        <v>1147.2800000000002</v>
      </c>
      <c r="J209" s="174">
        <v>1185.595569135239</v>
      </c>
      <c r="K209" s="165" t="s">
        <v>92</v>
      </c>
      <c r="L209" s="173">
        <v>10.042565860395998</v>
      </c>
      <c r="M209" s="10"/>
      <c r="N209" s="10"/>
    </row>
    <row r="210" spans="2:14" ht="18" thickBot="1" x14ac:dyDescent="0.5">
      <c r="B210" s="171"/>
      <c r="E210" s="171"/>
      <c r="I210" s="164"/>
      <c r="J210" s="172"/>
      <c r="K210" s="166" t="s">
        <v>80</v>
      </c>
      <c r="L210" s="174">
        <f>SUM(L206:L209)</f>
        <v>1468.0926355798863</v>
      </c>
      <c r="M210" s="10"/>
      <c r="N210" s="10"/>
    </row>
    <row r="211" spans="2:14" ht="13.5" customHeight="1" x14ac:dyDescent="0.45">
      <c r="B211" s="171"/>
      <c r="C211" s="171"/>
      <c r="G211" s="164"/>
      <c r="H211" s="172"/>
      <c r="I211" s="294"/>
      <c r="J211" s="587"/>
      <c r="K211" s="587"/>
      <c r="L211" s="587"/>
      <c r="M211" s="10"/>
      <c r="N211" s="10"/>
    </row>
    <row r="212" spans="2:14" s="601" customFormat="1" ht="17.5" x14ac:dyDescent="0.45">
      <c r="B212" s="657" t="s">
        <v>105</v>
      </c>
      <c r="C212" s="657"/>
      <c r="D212" s="604"/>
      <c r="E212" s="604"/>
      <c r="F212" s="604"/>
      <c r="G212" s="604"/>
      <c r="H212" s="604"/>
      <c r="I212" s="604"/>
      <c r="J212" s="604"/>
      <c r="K212" s="604"/>
      <c r="L212" s="658"/>
    </row>
    <row r="213" spans="2:14" ht="4.5" customHeight="1" thickBot="1" x14ac:dyDescent="0.5">
      <c r="B213" s="171"/>
      <c r="C213" s="171"/>
      <c r="G213" s="164"/>
      <c r="H213" s="172"/>
      <c r="I213" s="294"/>
      <c r="J213" s="587"/>
      <c r="K213" s="587"/>
      <c r="L213" s="587"/>
      <c r="M213" s="10"/>
      <c r="N213" s="10"/>
    </row>
    <row r="214" spans="2:14" ht="32" x14ac:dyDescent="0.45">
      <c r="B214" s="821" t="s">
        <v>106</v>
      </c>
      <c r="C214" s="663" t="s">
        <v>107</v>
      </c>
      <c r="D214" s="663" t="s">
        <v>108</v>
      </c>
      <c r="E214" s="663" t="s">
        <v>44</v>
      </c>
      <c r="F214" s="664" t="s">
        <v>61</v>
      </c>
      <c r="G214" s="664" t="s">
        <v>47</v>
      </c>
      <c r="H214" s="664" t="s">
        <v>48</v>
      </c>
      <c r="I214" s="664" t="s">
        <v>49</v>
      </c>
      <c r="J214" s="665" t="s">
        <v>50</v>
      </c>
      <c r="K214" s="587"/>
      <c r="L214" s="587"/>
      <c r="M214" s="10"/>
      <c r="N214" s="10"/>
    </row>
    <row r="215" spans="2:14" ht="17.5" x14ac:dyDescent="0.45">
      <c r="B215" s="589" t="s">
        <v>109</v>
      </c>
      <c r="C215" s="787">
        <v>138112</v>
      </c>
      <c r="D215" s="787">
        <v>129479</v>
      </c>
      <c r="E215" s="588">
        <v>131145</v>
      </c>
      <c r="F215" s="588">
        <v>131218</v>
      </c>
      <c r="G215" s="588">
        <v>211667</v>
      </c>
      <c r="H215" s="588">
        <v>231259</v>
      </c>
      <c r="I215" s="588">
        <v>240564</v>
      </c>
      <c r="J215" s="588">
        <v>308046</v>
      </c>
      <c r="K215" s="587"/>
      <c r="L215" s="587"/>
      <c r="M215" s="10"/>
      <c r="N215" s="10"/>
    </row>
    <row r="216" spans="2:14" ht="17.5" x14ac:dyDescent="0.45">
      <c r="B216" s="589" t="s">
        <v>110</v>
      </c>
      <c r="C216" s="787">
        <v>5052</v>
      </c>
      <c r="D216" s="787">
        <v>22349</v>
      </c>
      <c r="E216" s="588">
        <v>23310</v>
      </c>
      <c r="F216" s="588">
        <v>54814</v>
      </c>
      <c r="G216" s="588">
        <v>62926</v>
      </c>
      <c r="H216" s="588">
        <v>73282</v>
      </c>
      <c r="I216" s="588">
        <v>81687</v>
      </c>
      <c r="J216" s="588">
        <v>87431</v>
      </c>
      <c r="K216" s="587"/>
      <c r="L216" s="587"/>
      <c r="M216" s="10"/>
      <c r="N216" s="10"/>
    </row>
    <row r="217" spans="2:14" ht="45.65" customHeight="1" x14ac:dyDescent="0.45">
      <c r="B217" s="858" t="s">
        <v>111</v>
      </c>
      <c r="C217" s="787">
        <v>60463</v>
      </c>
      <c r="D217" s="787">
        <v>48690</v>
      </c>
      <c r="E217" s="787">
        <v>48940</v>
      </c>
      <c r="F217" s="787">
        <v>43201</v>
      </c>
      <c r="G217" s="588">
        <v>15661</v>
      </c>
      <c r="H217" s="588">
        <v>19621</v>
      </c>
      <c r="I217" s="588">
        <v>15051</v>
      </c>
      <c r="J217" s="588">
        <v>13168</v>
      </c>
      <c r="K217" s="587"/>
      <c r="L217" s="587"/>
      <c r="M217" s="10"/>
      <c r="N217" s="10"/>
    </row>
    <row r="218" spans="2:14" ht="18" thickBot="1" x14ac:dyDescent="0.5">
      <c r="B218" s="168" t="s">
        <v>112</v>
      </c>
      <c r="C218" s="788">
        <f>C215+C216</f>
        <v>143164</v>
      </c>
      <c r="D218" s="788">
        <f>D215+D216</f>
        <v>151828</v>
      </c>
      <c r="E218" s="590">
        <f t="shared" ref="E218:J218" si="3">E215+E216</f>
        <v>154455</v>
      </c>
      <c r="F218" s="590">
        <f t="shared" si="3"/>
        <v>186032</v>
      </c>
      <c r="G218" s="590">
        <f t="shared" si="3"/>
        <v>274593</v>
      </c>
      <c r="H218" s="590">
        <f t="shared" si="3"/>
        <v>304541</v>
      </c>
      <c r="I218" s="590">
        <f t="shared" si="3"/>
        <v>322251</v>
      </c>
      <c r="J218" s="590">
        <f t="shared" si="3"/>
        <v>395477</v>
      </c>
      <c r="K218" s="587"/>
      <c r="L218" s="587"/>
      <c r="M218" s="10"/>
      <c r="N218" s="10"/>
    </row>
    <row r="219" spans="2:14" ht="17.5" x14ac:dyDescent="0.45">
      <c r="B219" s="294"/>
      <c r="C219" s="870"/>
      <c r="D219" s="870"/>
      <c r="E219" s="871"/>
      <c r="F219" s="871"/>
      <c r="G219" s="871"/>
      <c r="H219" s="871"/>
      <c r="I219" s="871"/>
      <c r="J219" s="871"/>
      <c r="K219" s="587"/>
      <c r="L219" s="587"/>
      <c r="M219" s="10"/>
      <c r="N219" s="10"/>
    </row>
    <row r="220" spans="2:14" s="601" customFormat="1" ht="17.5" x14ac:dyDescent="0.45">
      <c r="B220" s="657" t="s">
        <v>113</v>
      </c>
      <c r="C220" s="657"/>
      <c r="D220" s="604"/>
      <c r="E220" s="604"/>
      <c r="F220" s="604"/>
      <c r="G220" s="604"/>
      <c r="H220" s="604"/>
      <c r="I220" s="604"/>
      <c r="J220" s="604"/>
      <c r="K220" s="604"/>
      <c r="L220" s="658"/>
    </row>
    <row r="221" spans="2:14" ht="17.5" x14ac:dyDescent="0.45">
      <c r="B221" s="294"/>
      <c r="C221" s="870"/>
      <c r="D221" s="870"/>
      <c r="E221" s="871"/>
      <c r="F221" s="871"/>
      <c r="G221" s="871"/>
      <c r="H221" s="871"/>
      <c r="I221" s="871"/>
      <c r="J221" s="871"/>
      <c r="K221" s="587"/>
      <c r="L221" s="587"/>
      <c r="M221" s="10"/>
      <c r="N221" s="10"/>
    </row>
    <row r="222" spans="2:14" ht="32" x14ac:dyDescent="0.45">
      <c r="B222" s="876" t="s">
        <v>75</v>
      </c>
      <c r="C222" s="663" t="s">
        <v>107</v>
      </c>
      <c r="D222" s="663" t="s">
        <v>108</v>
      </c>
      <c r="E222" s="663" t="s">
        <v>44</v>
      </c>
      <c r="F222" s="664" t="s">
        <v>61</v>
      </c>
      <c r="G222" s="664" t="s">
        <v>47</v>
      </c>
      <c r="H222" s="664" t="s">
        <v>48</v>
      </c>
      <c r="I222" s="664" t="s">
        <v>49</v>
      </c>
      <c r="J222" s="665" t="s">
        <v>50</v>
      </c>
      <c r="K222" s="587"/>
      <c r="L222" s="587"/>
      <c r="M222" s="10"/>
      <c r="N222" s="10"/>
    </row>
    <row r="223" spans="2:14" ht="17.5" x14ac:dyDescent="0.45">
      <c r="B223" s="872" t="s">
        <v>114</v>
      </c>
      <c r="C223" s="788">
        <f t="shared" ref="C223:J223" si="4">C217*0.0036*1000</f>
        <v>217666.8</v>
      </c>
      <c r="D223" s="788">
        <f t="shared" si="4"/>
        <v>175284</v>
      </c>
      <c r="E223" s="788">
        <f t="shared" si="4"/>
        <v>176184</v>
      </c>
      <c r="F223" s="788">
        <f t="shared" si="4"/>
        <v>155523.59999999998</v>
      </c>
      <c r="G223" s="788">
        <f t="shared" si="4"/>
        <v>56379.6</v>
      </c>
      <c r="H223" s="788">
        <f t="shared" si="4"/>
        <v>70635.599999999991</v>
      </c>
      <c r="I223" s="788">
        <f t="shared" si="4"/>
        <v>54183.6</v>
      </c>
      <c r="J223" s="788">
        <f t="shared" si="4"/>
        <v>47404.800000000003</v>
      </c>
      <c r="K223" s="587"/>
      <c r="L223" s="587"/>
      <c r="M223" s="10"/>
      <c r="N223" s="10"/>
    </row>
    <row r="224" spans="2:14" ht="17.5" x14ac:dyDescent="0.45">
      <c r="B224" s="872" t="s">
        <v>115</v>
      </c>
      <c r="C224" s="788">
        <f>(37802+20944+624)*0.0036*1000</f>
        <v>213732</v>
      </c>
      <c r="D224" s="788">
        <f>(32424+14180+706)*0.0036*1000</f>
        <v>170316</v>
      </c>
      <c r="E224" s="788">
        <f>(32424+15009+706)*0.0036*1000</f>
        <v>173300.4</v>
      </c>
      <c r="F224" s="788">
        <f>(26613+15340+444)*0.0036*1000</f>
        <v>152629.20000000001</v>
      </c>
      <c r="G224" s="788">
        <f>(14467+434)*0.0036*1000</f>
        <v>53643.6</v>
      </c>
      <c r="H224" s="788">
        <f>(18239+434)*0.0036*1000</f>
        <v>67222.799999999988</v>
      </c>
      <c r="I224" s="788">
        <f>(13686+639)*0.0036*1000</f>
        <v>51570</v>
      </c>
      <c r="J224" s="788">
        <f>(12324+208)*0.0036*1000</f>
        <v>45115.200000000004</v>
      </c>
      <c r="K224" s="587"/>
      <c r="L224" s="587"/>
      <c r="M224" s="10"/>
      <c r="N224" s="10"/>
    </row>
    <row r="225" spans="2:14" ht="17.5" x14ac:dyDescent="0.45">
      <c r="B225" s="872" t="s">
        <v>116</v>
      </c>
      <c r="C225" s="788">
        <f>(2428+37802+20944+624)*0.0036*1000</f>
        <v>222472.80000000002</v>
      </c>
      <c r="D225" s="788">
        <f>(19741+32424+14180+706)*0.0036*1000</f>
        <v>241383.6</v>
      </c>
      <c r="E225" s="788">
        <f>(20656+32424+15009+706)*0.0036*1000</f>
        <v>247662</v>
      </c>
      <c r="F225" s="788">
        <f>(25591+26613+15340+444)*0.0036*1000</f>
        <v>244756.8</v>
      </c>
      <c r="G225" s="788">
        <f>(60087+14467+434)*0.0036*1000</f>
        <v>269956.8</v>
      </c>
      <c r="H225" s="788">
        <f>(68793+18239+424)*0.0036*1000</f>
        <v>314841.59999999998</v>
      </c>
      <c r="I225" s="788">
        <f>(77873+13686+639)*0.0036*1000</f>
        <v>331912.8</v>
      </c>
      <c r="J225" s="788">
        <f>(83267+12324+208)*0.0036*1000</f>
        <v>344876.39999999997</v>
      </c>
      <c r="K225" s="587"/>
      <c r="L225" s="587"/>
      <c r="M225" s="10"/>
      <c r="N225" s="10"/>
    </row>
    <row r="226" spans="2:14" ht="17.5" x14ac:dyDescent="0.45">
      <c r="C226" s="886"/>
      <c r="I226" s="20"/>
      <c r="J226" s="20"/>
      <c r="K226" s="20"/>
      <c r="L226" s="20"/>
    </row>
    <row r="227" spans="2:14" s="601" customFormat="1" ht="17.5" x14ac:dyDescent="0.45">
      <c r="B227" s="657" t="s">
        <v>12</v>
      </c>
      <c r="C227" s="657"/>
      <c r="D227" s="604"/>
      <c r="E227" s="604"/>
      <c r="F227" s="604"/>
      <c r="G227" s="604"/>
      <c r="H227" s="604"/>
      <c r="I227" s="604"/>
      <c r="J227" s="604"/>
      <c r="K227" s="604"/>
      <c r="L227" s="658"/>
    </row>
    <row r="228" spans="2:14" ht="6" customHeight="1" thickBot="1" x14ac:dyDescent="0.5">
      <c r="B228" s="19"/>
      <c r="C228" s="19"/>
      <c r="D228" s="20"/>
      <c r="E228" s="10"/>
      <c r="F228" s="20"/>
      <c r="G228" s="20"/>
      <c r="H228" s="20"/>
      <c r="I228" s="20"/>
      <c r="J228" s="20"/>
      <c r="K228" s="20"/>
      <c r="L228" s="10"/>
    </row>
    <row r="229" spans="2:14" ht="32" x14ac:dyDescent="0.45">
      <c r="B229" s="662" t="s">
        <v>117</v>
      </c>
      <c r="C229" s="876" t="s">
        <v>43</v>
      </c>
      <c r="D229" s="876" t="s">
        <v>44</v>
      </c>
      <c r="E229" s="876" t="s">
        <v>45</v>
      </c>
      <c r="F229" s="874" t="s">
        <v>46</v>
      </c>
      <c r="G229" s="662" t="s">
        <v>47</v>
      </c>
      <c r="H229" s="662" t="s">
        <v>48</v>
      </c>
      <c r="I229" s="662" t="s">
        <v>49</v>
      </c>
      <c r="J229" s="818" t="s">
        <v>118</v>
      </c>
      <c r="K229" s="10"/>
      <c r="L229" s="10"/>
    </row>
    <row r="230" spans="2:14" ht="32.5" thickBot="1" x14ac:dyDescent="0.5">
      <c r="B230" s="166" t="s">
        <v>80</v>
      </c>
      <c r="C230" s="276" t="s">
        <v>119</v>
      </c>
      <c r="D230" s="276" t="s">
        <v>119</v>
      </c>
      <c r="E230" s="765" t="s">
        <v>119</v>
      </c>
      <c r="F230" s="766" t="s">
        <v>119</v>
      </c>
      <c r="G230" s="767">
        <v>0.22500000000000001</v>
      </c>
      <c r="H230" s="768">
        <v>0.13</v>
      </c>
      <c r="I230" s="768">
        <v>0.2</v>
      </c>
      <c r="J230" s="768">
        <v>0.21</v>
      </c>
      <c r="K230" s="10"/>
      <c r="L230" s="10"/>
    </row>
    <row r="231" spans="2:14" ht="18" thickBot="1" x14ac:dyDescent="0.5">
      <c r="B231" s="294"/>
      <c r="C231" s="294"/>
      <c r="E231" s="295"/>
      <c r="F231" s="295"/>
      <c r="G231" s="295"/>
      <c r="H231" s="295"/>
      <c r="I231" s="10"/>
      <c r="J231" s="10"/>
    </row>
    <row r="232" spans="2:14" ht="32" x14ac:dyDescent="0.45">
      <c r="B232" s="819" t="s">
        <v>120</v>
      </c>
      <c r="C232" s="876" t="s">
        <v>43</v>
      </c>
      <c r="D232" s="876" t="s">
        <v>44</v>
      </c>
      <c r="E232" s="876" t="s">
        <v>45</v>
      </c>
      <c r="F232" s="874" t="s">
        <v>46</v>
      </c>
      <c r="G232" s="662" t="s">
        <v>47</v>
      </c>
      <c r="H232" s="662" t="s">
        <v>48</v>
      </c>
      <c r="I232" s="662" t="s">
        <v>49</v>
      </c>
      <c r="J232" s="662" t="s">
        <v>50</v>
      </c>
      <c r="K232" s="10"/>
      <c r="L232" s="10"/>
    </row>
    <row r="233" spans="2:14" ht="18" thickBot="1" x14ac:dyDescent="0.5">
      <c r="B233" s="166" t="s">
        <v>80</v>
      </c>
      <c r="C233" s="889">
        <v>0.14000000000000001</v>
      </c>
      <c r="D233" s="223">
        <v>0.16900000000000001</v>
      </c>
      <c r="E233" s="296">
        <v>0.21199999999999999</v>
      </c>
      <c r="F233" s="433">
        <v>0.27500000000000002</v>
      </c>
      <c r="G233" s="296">
        <v>0.23300000000000001</v>
      </c>
      <c r="H233" s="359">
        <v>0.25</v>
      </c>
      <c r="I233" s="175">
        <v>0.47299999999999998</v>
      </c>
      <c r="J233" s="175">
        <v>0.51700000000000002</v>
      </c>
      <c r="K233" s="10"/>
      <c r="L233" s="10"/>
    </row>
    <row r="234" spans="2:14" ht="17.5" x14ac:dyDescent="0.45">
      <c r="B234" s="127"/>
      <c r="C234" s="19"/>
      <c r="D234" s="20"/>
      <c r="E234" s="20"/>
      <c r="F234" s="20"/>
      <c r="G234" s="20"/>
      <c r="H234" s="20"/>
      <c r="I234" s="20"/>
      <c r="J234" s="20"/>
    </row>
    <row r="235" spans="2:14" s="601" customFormat="1" ht="17.5" x14ac:dyDescent="0.45">
      <c r="B235" s="657" t="s">
        <v>14</v>
      </c>
      <c r="C235" s="657"/>
      <c r="D235" s="604"/>
      <c r="E235" s="604"/>
      <c r="F235" s="604"/>
      <c r="G235" s="604"/>
      <c r="H235" s="604"/>
      <c r="I235" s="604"/>
      <c r="J235" s="604"/>
      <c r="K235" s="604"/>
      <c r="L235" s="658"/>
    </row>
    <row r="236" spans="2:14" ht="6" customHeight="1" thickBot="1" x14ac:dyDescent="0.5">
      <c r="B236" s="19"/>
      <c r="C236" s="19"/>
      <c r="D236" s="20"/>
      <c r="E236" s="10"/>
      <c r="F236" s="20"/>
      <c r="G236" s="20"/>
      <c r="H236" s="20"/>
      <c r="I236" s="20"/>
      <c r="J236" s="20"/>
      <c r="K236" s="20"/>
      <c r="L236" s="10"/>
    </row>
    <row r="237" spans="2:14" ht="31.4" customHeight="1" thickBot="1" x14ac:dyDescent="0.5">
      <c r="B237" s="898" t="s">
        <v>56</v>
      </c>
      <c r="C237" s="898" t="s">
        <v>57</v>
      </c>
      <c r="D237" s="900" t="s">
        <v>121</v>
      </c>
      <c r="E237" s="900"/>
      <c r="F237" s="900" t="s">
        <v>122</v>
      </c>
      <c r="G237" s="900"/>
      <c r="H237" s="916" t="s">
        <v>123</v>
      </c>
      <c r="I237" s="916"/>
      <c r="J237" s="916" t="s">
        <v>124</v>
      </c>
      <c r="K237" s="916"/>
      <c r="L237" s="10"/>
    </row>
    <row r="238" spans="2:14" ht="18" thickBot="1" x14ac:dyDescent="0.5">
      <c r="B238" s="899"/>
      <c r="C238" s="899"/>
      <c r="D238" s="667" t="s">
        <v>125</v>
      </c>
      <c r="E238" s="667" t="s">
        <v>126</v>
      </c>
      <c r="F238" s="667" t="s">
        <v>125</v>
      </c>
      <c r="G238" s="667" t="s">
        <v>126</v>
      </c>
      <c r="H238" s="667" t="s">
        <v>125</v>
      </c>
      <c r="I238" s="667" t="s">
        <v>126</v>
      </c>
      <c r="J238" s="667" t="s">
        <v>125</v>
      </c>
      <c r="K238" s="667" t="s">
        <v>126</v>
      </c>
      <c r="L238" s="10"/>
    </row>
    <row r="239" spans="2:14" ht="17.5" x14ac:dyDescent="0.45">
      <c r="B239" s="33" t="s">
        <v>43</v>
      </c>
      <c r="C239" s="33" t="s">
        <v>80</v>
      </c>
      <c r="D239" s="789">
        <f>F239+J239</f>
        <v>42.36</v>
      </c>
      <c r="E239" s="789">
        <f>E240+E244+E245</f>
        <v>771.67293999999993</v>
      </c>
      <c r="F239" s="789">
        <v>29.41</v>
      </c>
      <c r="G239" s="789">
        <v>491.91</v>
      </c>
      <c r="H239" s="789">
        <v>30.84</v>
      </c>
      <c r="I239" s="789">
        <v>279.76</v>
      </c>
      <c r="J239" s="789">
        <v>12.95</v>
      </c>
      <c r="K239" s="789" t="s">
        <v>68</v>
      </c>
      <c r="L239" s="10"/>
    </row>
    <row r="240" spans="2:14" ht="17.5" x14ac:dyDescent="0.45">
      <c r="B240" s="31"/>
      <c r="C240" s="31" t="s">
        <v>127</v>
      </c>
      <c r="D240" s="755">
        <f t="shared" ref="D240:D245" si="5">F240+J240</f>
        <v>39.46</v>
      </c>
      <c r="E240" s="755">
        <f>SUM(E241:E243)</f>
        <v>732.55395999999996</v>
      </c>
      <c r="F240" s="755">
        <v>28.24</v>
      </c>
      <c r="G240" s="755">
        <v>470.12</v>
      </c>
      <c r="H240" s="755">
        <v>28.44</v>
      </c>
      <c r="I240" s="755">
        <v>262.44</v>
      </c>
      <c r="J240" s="755">
        <v>11.22</v>
      </c>
      <c r="K240" s="755" t="s">
        <v>68</v>
      </c>
      <c r="L240" s="10"/>
    </row>
    <row r="241" spans="2:12" ht="17.5" x14ac:dyDescent="0.45">
      <c r="B241" s="31"/>
      <c r="C241" s="22" t="s">
        <v>51</v>
      </c>
      <c r="D241" s="428">
        <f t="shared" si="5"/>
        <v>12.16874</v>
      </c>
      <c r="E241" s="428">
        <f>G241+I241</f>
        <v>316.94885999999997</v>
      </c>
      <c r="F241" s="428">
        <v>12.41</v>
      </c>
      <c r="G241" s="428">
        <v>213.62441999999999</v>
      </c>
      <c r="H241" s="428">
        <v>7.9092599999999997</v>
      </c>
      <c r="I241" s="428">
        <v>103.32444</v>
      </c>
      <c r="J241" s="428">
        <v>-0.24126</v>
      </c>
      <c r="K241" s="428" t="s">
        <v>68</v>
      </c>
      <c r="L241" s="10"/>
    </row>
    <row r="242" spans="2:12" ht="17.5" x14ac:dyDescent="0.45">
      <c r="B242" s="31"/>
      <c r="C242" s="22" t="s">
        <v>128</v>
      </c>
      <c r="D242" s="428">
        <f t="shared" si="5"/>
        <v>15.087759999999999</v>
      </c>
      <c r="E242" s="428">
        <f t="shared" ref="E242:E245" si="6">G242+I242</f>
        <v>141.11321000000001</v>
      </c>
      <c r="F242" s="428">
        <v>4.87</v>
      </c>
      <c r="G242" s="428">
        <v>81.072720000000004</v>
      </c>
      <c r="H242" s="428">
        <v>10.21776</v>
      </c>
      <c r="I242" s="428">
        <v>60.040489999999998</v>
      </c>
      <c r="J242" s="428">
        <v>10.21776</v>
      </c>
      <c r="K242" s="428" t="s">
        <v>68</v>
      </c>
      <c r="L242" s="10"/>
    </row>
    <row r="243" spans="2:12" ht="17.5" x14ac:dyDescent="0.45">
      <c r="B243" s="31"/>
      <c r="C243" s="22" t="s">
        <v>53</v>
      </c>
      <c r="D243" s="428">
        <f t="shared" si="5"/>
        <v>12.206700000000001</v>
      </c>
      <c r="E243" s="428">
        <f t="shared" si="6"/>
        <v>274.49189000000001</v>
      </c>
      <c r="F243" s="428">
        <v>10.96</v>
      </c>
      <c r="G243" s="428">
        <v>175.41935000000001</v>
      </c>
      <c r="H243" s="428">
        <v>10.3123</v>
      </c>
      <c r="I243" s="428">
        <v>99.072540000000004</v>
      </c>
      <c r="J243" s="428">
        <v>1.2466999999999999</v>
      </c>
      <c r="K243" s="428" t="s">
        <v>68</v>
      </c>
      <c r="L243" s="10"/>
    </row>
    <row r="244" spans="2:12" ht="17.5" x14ac:dyDescent="0.45">
      <c r="B244" s="31"/>
      <c r="C244" s="22" t="s">
        <v>76</v>
      </c>
      <c r="D244" s="428">
        <f t="shared" si="5"/>
        <v>2.9188200000000002</v>
      </c>
      <c r="E244" s="428">
        <f t="shared" si="6"/>
        <v>33.249459999999999</v>
      </c>
      <c r="F244" s="428">
        <v>1.17</v>
      </c>
      <c r="G244" s="428">
        <v>21.79787</v>
      </c>
      <c r="H244" s="428">
        <v>1.74882</v>
      </c>
      <c r="I244" s="428">
        <v>11.451589999999999</v>
      </c>
      <c r="J244" s="428">
        <v>1.74882</v>
      </c>
      <c r="K244" s="428" t="s">
        <v>68</v>
      </c>
      <c r="L244" s="10"/>
    </row>
    <row r="245" spans="2:12" ht="18" thickBot="1" x14ac:dyDescent="0.5">
      <c r="B245" s="24"/>
      <c r="C245" s="36" t="s">
        <v>92</v>
      </c>
      <c r="D245" s="429">
        <f t="shared" si="5"/>
        <v>-2.019E-2</v>
      </c>
      <c r="E245" s="429">
        <f t="shared" si="6"/>
        <v>5.8695199999999996</v>
      </c>
      <c r="F245" s="429">
        <v>0</v>
      </c>
      <c r="G245" s="429">
        <v>0</v>
      </c>
      <c r="H245" s="429">
        <v>0.64878999999999998</v>
      </c>
      <c r="I245" s="429">
        <v>5.8695199999999996</v>
      </c>
      <c r="J245" s="429">
        <v>-2.019E-2</v>
      </c>
      <c r="K245" s="429" t="s">
        <v>68</v>
      </c>
      <c r="L245" s="10"/>
    </row>
    <row r="246" spans="2:12" ht="17.5" x14ac:dyDescent="0.45">
      <c r="B246" s="849" t="s">
        <v>129</v>
      </c>
      <c r="C246" s="33" t="s">
        <v>80</v>
      </c>
      <c r="D246" s="178">
        <f>SUM(D247,D251,D252)</f>
        <v>43.536999999999999</v>
      </c>
      <c r="E246" s="178">
        <f>SUM(E247,E251,E252)</f>
        <v>726.06000000000006</v>
      </c>
      <c r="F246" s="178">
        <f>SUM(F247,F251,F252)</f>
        <v>27.934999999999999</v>
      </c>
      <c r="G246" s="178">
        <f>SUM(G247,G251,G252)</f>
        <v>460.01</v>
      </c>
      <c r="H246" s="178">
        <f t="shared" ref="H246" si="7">SUM(H248:H252)</f>
        <v>30.257000000000001</v>
      </c>
      <c r="I246" s="178">
        <f>SUM(I247,I251,I252)</f>
        <v>253.45</v>
      </c>
      <c r="J246" s="178">
        <f t="shared" ref="J246" si="8">SUM(J248:J252)</f>
        <v>15.41</v>
      </c>
      <c r="K246" s="178" t="s">
        <v>68</v>
      </c>
      <c r="L246" s="10"/>
    </row>
    <row r="247" spans="2:12" ht="17.5" x14ac:dyDescent="0.45">
      <c r="B247" s="31"/>
      <c r="C247" s="31" t="s">
        <v>127</v>
      </c>
      <c r="D247" s="179">
        <f>SUM(D248:D250)</f>
        <v>41.164000000000001</v>
      </c>
      <c r="E247" s="179">
        <f>SUM(E248:E250)</f>
        <v>708.1400000000001</v>
      </c>
      <c r="F247" s="179">
        <f>SUM(F248:F250)</f>
        <v>27.625</v>
      </c>
      <c r="G247" s="179">
        <f>SUM(G248:G250)</f>
        <v>454.44</v>
      </c>
      <c r="H247" s="179">
        <f t="shared" ref="H247" si="9">SUM(H248:H250)</f>
        <v>28.41</v>
      </c>
      <c r="I247" s="179">
        <f>SUM(I248:I250)</f>
        <v>241.36</v>
      </c>
      <c r="J247" s="179">
        <f t="shared" ref="J247" si="10">SUM(J248:J250)</f>
        <v>13.563000000000001</v>
      </c>
      <c r="K247" s="179" t="s">
        <v>68</v>
      </c>
      <c r="L247" s="10"/>
    </row>
    <row r="248" spans="2:12" ht="17.5" x14ac:dyDescent="0.45">
      <c r="B248" s="31"/>
      <c r="C248" s="22" t="s">
        <v>51</v>
      </c>
      <c r="D248" s="180">
        <v>11.422000000000001</v>
      </c>
      <c r="E248" s="180">
        <v>290.16000000000003</v>
      </c>
      <c r="F248" s="180">
        <v>10.96</v>
      </c>
      <c r="G248" s="180">
        <v>190.75</v>
      </c>
      <c r="H248" s="180">
        <v>8.5419999999999998</v>
      </c>
      <c r="I248" s="180">
        <v>96.02</v>
      </c>
      <c r="J248" s="180">
        <v>-0.41499999999999998</v>
      </c>
      <c r="K248" s="180" t="s">
        <v>68</v>
      </c>
      <c r="L248" s="10"/>
    </row>
    <row r="249" spans="2:12" ht="17.5" x14ac:dyDescent="0.45">
      <c r="B249" s="31"/>
      <c r="C249" s="22" t="s">
        <v>128</v>
      </c>
      <c r="D249" s="180">
        <v>12.884</v>
      </c>
      <c r="E249" s="180">
        <v>270.24</v>
      </c>
      <c r="F249" s="180">
        <v>11.534000000000001</v>
      </c>
      <c r="G249" s="180">
        <v>179.4</v>
      </c>
      <c r="H249" s="180">
        <v>8.0039999999999996</v>
      </c>
      <c r="I249" s="180">
        <v>87.67</v>
      </c>
      <c r="J249" s="180">
        <v>2.1139999999999999</v>
      </c>
      <c r="K249" s="180" t="s">
        <v>68</v>
      </c>
      <c r="L249" s="10"/>
    </row>
    <row r="250" spans="2:12" ht="17.5" x14ac:dyDescent="0.45">
      <c r="B250" s="31"/>
      <c r="C250" s="22" t="s">
        <v>53</v>
      </c>
      <c r="D250" s="180">
        <v>16.858000000000001</v>
      </c>
      <c r="E250" s="180">
        <v>147.74</v>
      </c>
      <c r="F250" s="180">
        <v>5.1310000000000002</v>
      </c>
      <c r="G250" s="180">
        <v>84.29</v>
      </c>
      <c r="H250" s="180">
        <v>11.864000000000001</v>
      </c>
      <c r="I250" s="180">
        <v>57.67</v>
      </c>
      <c r="J250" s="180">
        <v>11.864000000000001</v>
      </c>
      <c r="K250" s="180" t="s">
        <v>68</v>
      </c>
      <c r="L250" s="10"/>
    </row>
    <row r="251" spans="2:12" ht="17.5" x14ac:dyDescent="0.45">
      <c r="B251" s="31"/>
      <c r="C251" s="22" t="s">
        <v>76</v>
      </c>
      <c r="D251" s="180">
        <v>1.3480000000000001</v>
      </c>
      <c r="E251" s="180">
        <v>9.5500000000000007</v>
      </c>
      <c r="F251" s="180">
        <v>0.31</v>
      </c>
      <c r="G251" s="180">
        <v>5.57</v>
      </c>
      <c r="H251" s="180">
        <v>0.878</v>
      </c>
      <c r="I251" s="180">
        <v>3.98</v>
      </c>
      <c r="J251" s="180">
        <v>0.878</v>
      </c>
      <c r="K251" s="180" t="s">
        <v>68</v>
      </c>
      <c r="L251" s="10"/>
    </row>
    <row r="252" spans="2:12" ht="18" thickBot="1" x14ac:dyDescent="0.5">
      <c r="B252" s="24"/>
      <c r="C252" s="36" t="s">
        <v>92</v>
      </c>
      <c r="D252" s="177">
        <v>1.0249999999999999</v>
      </c>
      <c r="E252" s="177">
        <v>8.3699999999999992</v>
      </c>
      <c r="F252" s="177">
        <v>0</v>
      </c>
      <c r="G252" s="177">
        <v>0</v>
      </c>
      <c r="H252" s="177">
        <v>0.96899999999999997</v>
      </c>
      <c r="I252" s="177">
        <v>8.11</v>
      </c>
      <c r="J252" s="177">
        <v>0.96899999999999997</v>
      </c>
      <c r="K252" s="177" t="s">
        <v>68</v>
      </c>
      <c r="L252" s="10"/>
    </row>
    <row r="253" spans="2:12" ht="17.5" x14ac:dyDescent="0.45">
      <c r="B253" s="849" t="s">
        <v>104</v>
      </c>
      <c r="C253" s="33" t="s">
        <v>80</v>
      </c>
      <c r="D253" s="178">
        <f>SUM(D254,D258,D259)</f>
        <v>43.536999999999999</v>
      </c>
      <c r="E253" s="178">
        <f>SUM(E254,E258,E259)</f>
        <v>726.06000000000006</v>
      </c>
      <c r="F253" s="178">
        <f>SUM(F254,F258,F259)</f>
        <v>28.326511588350002</v>
      </c>
      <c r="G253" s="178">
        <f>SUM(G254,G258,G259)</f>
        <v>466.01</v>
      </c>
      <c r="H253" s="178">
        <f t="shared" ref="H253:J253" si="11">SUM(H255:H259)</f>
        <v>30.059536849649977</v>
      </c>
      <c r="I253" s="178">
        <f>SUM(I254,I258,I259)</f>
        <v>260.05182594909377</v>
      </c>
      <c r="J253" s="178">
        <f t="shared" si="11"/>
        <v>15.211399939649979</v>
      </c>
      <c r="K253" s="178" t="s">
        <v>68</v>
      </c>
      <c r="L253" s="10"/>
    </row>
    <row r="254" spans="2:12" ht="17.5" x14ac:dyDescent="0.45">
      <c r="B254" s="31"/>
      <c r="C254" s="31" t="s">
        <v>127</v>
      </c>
      <c r="D254" s="179">
        <f>SUM(D255:D257)</f>
        <v>41.164000000000001</v>
      </c>
      <c r="E254" s="179">
        <f>SUM(E255:E257)</f>
        <v>708.1400000000001</v>
      </c>
      <c r="F254" s="179">
        <f>SUM(F255:F257)</f>
        <v>27.86628572295</v>
      </c>
      <c r="G254" s="179">
        <f>SUM(G255:G257)</f>
        <v>460.44</v>
      </c>
      <c r="H254" s="179">
        <f t="shared" ref="H254:J254" si="12">SUM(H255:H257)</f>
        <v>28.14662330234998</v>
      </c>
      <c r="I254" s="179">
        <f>SUM(I255:I257)</f>
        <v>247.7018259490938</v>
      </c>
      <c r="J254" s="179">
        <f t="shared" si="12"/>
        <v>13.298486392349982</v>
      </c>
      <c r="K254" s="179" t="s">
        <v>68</v>
      </c>
      <c r="L254" s="10"/>
    </row>
    <row r="255" spans="2:12" ht="17.5" x14ac:dyDescent="0.45">
      <c r="B255" s="31"/>
      <c r="C255" s="22" t="s">
        <v>51</v>
      </c>
      <c r="D255" s="180">
        <v>11.422000000000001</v>
      </c>
      <c r="E255" s="180">
        <v>290.16000000000003</v>
      </c>
      <c r="F255" s="180">
        <v>11.681982017599999</v>
      </c>
      <c r="G255" s="180">
        <v>192.35</v>
      </c>
      <c r="H255" s="180">
        <v>8.6979123230999988</v>
      </c>
      <c r="I255" s="180">
        <v>97.801980735739647</v>
      </c>
      <c r="J255" s="180">
        <v>-0.25980498690000292</v>
      </c>
      <c r="K255" s="180" t="s">
        <v>68</v>
      </c>
      <c r="L255" s="10"/>
    </row>
    <row r="256" spans="2:12" ht="17.5" x14ac:dyDescent="0.45">
      <c r="B256" s="31"/>
      <c r="C256" s="22" t="s">
        <v>128</v>
      </c>
      <c r="D256" s="180">
        <v>12.884</v>
      </c>
      <c r="E256" s="180">
        <v>270.24</v>
      </c>
      <c r="F256" s="180">
        <v>10.926435371</v>
      </c>
      <c r="G256" s="180">
        <v>179.96</v>
      </c>
      <c r="H256" s="180">
        <v>7.8483579908999932</v>
      </c>
      <c r="I256" s="180">
        <v>90.27984521335415</v>
      </c>
      <c r="J256" s="180">
        <v>1.9579383908999946</v>
      </c>
      <c r="K256" s="180" t="s">
        <v>68</v>
      </c>
      <c r="L256" s="10"/>
    </row>
    <row r="257" spans="2:12" ht="17.5" x14ac:dyDescent="0.45">
      <c r="B257" s="31"/>
      <c r="C257" s="22" t="s">
        <v>53</v>
      </c>
      <c r="D257" s="180">
        <v>16.858000000000001</v>
      </c>
      <c r="E257" s="180">
        <v>147.74</v>
      </c>
      <c r="F257" s="180">
        <v>5.2578683343500003</v>
      </c>
      <c r="G257" s="180">
        <v>88.13</v>
      </c>
      <c r="H257" s="180">
        <v>11.600352988349989</v>
      </c>
      <c r="I257" s="180">
        <v>59.62</v>
      </c>
      <c r="J257" s="180">
        <v>11.600352988349991</v>
      </c>
      <c r="K257" s="180" t="s">
        <v>68</v>
      </c>
      <c r="L257" s="10"/>
    </row>
    <row r="258" spans="2:12" ht="17.5" x14ac:dyDescent="0.45">
      <c r="B258" s="31"/>
      <c r="C258" s="22" t="s">
        <v>76</v>
      </c>
      <c r="D258" s="180">
        <v>1.3480000000000001</v>
      </c>
      <c r="E258" s="180">
        <v>9.5500000000000007</v>
      </c>
      <c r="F258" s="180">
        <v>0.46022586539999999</v>
      </c>
      <c r="G258" s="180">
        <v>5.57</v>
      </c>
      <c r="H258" s="180">
        <v>0.88742012519999935</v>
      </c>
      <c r="I258" s="180">
        <v>3.98</v>
      </c>
      <c r="J258" s="180">
        <v>0.88742012519999935</v>
      </c>
      <c r="K258" s="180" t="s">
        <v>68</v>
      </c>
      <c r="L258" s="10"/>
    </row>
    <row r="259" spans="2:12" ht="17.5" x14ac:dyDescent="0.45">
      <c r="B259" s="24"/>
      <c r="C259" s="36" t="s">
        <v>92</v>
      </c>
      <c r="D259" s="177">
        <v>1.0249999999999999</v>
      </c>
      <c r="E259" s="177">
        <v>8.3699999999999992</v>
      </c>
      <c r="F259" s="177">
        <v>0</v>
      </c>
      <c r="G259" s="177">
        <v>0</v>
      </c>
      <c r="H259" s="177">
        <v>1.0254934220999994</v>
      </c>
      <c r="I259" s="177">
        <v>8.3699999999999992</v>
      </c>
      <c r="J259" s="177">
        <v>1.0254934220999994</v>
      </c>
      <c r="K259" s="177" t="s">
        <v>68</v>
      </c>
      <c r="L259" s="10"/>
    </row>
    <row r="260" spans="2:12" ht="17.5" x14ac:dyDescent="0.45">
      <c r="B260" s="33" t="s">
        <v>61</v>
      </c>
      <c r="C260" s="33" t="s">
        <v>80</v>
      </c>
      <c r="D260" s="87">
        <f t="shared" ref="D260:I260" si="13">SUM(D262:D266)</f>
        <v>48.890000000000008</v>
      </c>
      <c r="E260" s="87">
        <f t="shared" si="13"/>
        <v>436.26000000000005</v>
      </c>
      <c r="F260" s="87">
        <f t="shared" si="13"/>
        <v>26.651</v>
      </c>
      <c r="G260" s="87">
        <f t="shared" si="13"/>
        <v>168.78</v>
      </c>
      <c r="H260" s="87">
        <f t="shared" si="13"/>
        <v>32.795999999999999</v>
      </c>
      <c r="I260" s="87">
        <f t="shared" si="13"/>
        <v>267.5</v>
      </c>
      <c r="J260" s="87">
        <f t="shared" ref="J260:K260" si="14">SUM(J262:J266)</f>
        <v>43.357999999999997</v>
      </c>
      <c r="K260" s="87">
        <f t="shared" si="14"/>
        <v>0</v>
      </c>
      <c r="L260" s="10"/>
    </row>
    <row r="261" spans="2:12" ht="17.5" x14ac:dyDescent="0.45">
      <c r="B261" s="31" t="s">
        <v>62</v>
      </c>
      <c r="C261" s="31" t="s">
        <v>127</v>
      </c>
      <c r="D261" s="88">
        <f t="shared" ref="D261:I261" si="15">SUM(D262:D264)</f>
        <v>45.628000000000007</v>
      </c>
      <c r="E261" s="88">
        <f t="shared" si="15"/>
        <v>413.23</v>
      </c>
      <c r="F261" s="88">
        <f t="shared" si="15"/>
        <v>26.146999999999998</v>
      </c>
      <c r="G261" s="88">
        <f t="shared" si="15"/>
        <v>163.68</v>
      </c>
      <c r="H261" s="88">
        <f t="shared" si="15"/>
        <v>30.038</v>
      </c>
      <c r="I261" s="88">
        <f t="shared" si="15"/>
        <v>249.57</v>
      </c>
      <c r="J261" s="88">
        <f t="shared" ref="J261" si="16">SUM(J262:J264)</f>
        <v>40.599999999999994</v>
      </c>
      <c r="K261" s="88">
        <f t="shared" ref="K261" si="17">SUM(K262:K264)</f>
        <v>0</v>
      </c>
      <c r="L261" s="10"/>
    </row>
    <row r="262" spans="2:12" ht="17.5" x14ac:dyDescent="0.45">
      <c r="B262" s="31"/>
      <c r="C262" s="22" t="s">
        <v>51</v>
      </c>
      <c r="D262" s="428">
        <f>7.683+0.386</f>
        <v>8.0689999999999991</v>
      </c>
      <c r="E262" s="428">
        <f>186.06+3.03</f>
        <v>189.09</v>
      </c>
      <c r="F262" s="428">
        <v>9.1300000000000008</v>
      </c>
      <c r="G262" s="428">
        <v>93.55</v>
      </c>
      <c r="H262" s="428">
        <f>0.341+8.708+0.017+0.435</f>
        <v>9.5009999999999994</v>
      </c>
      <c r="I262" s="428">
        <f>92.97+2.57</f>
        <v>95.539999999999992</v>
      </c>
      <c r="J262" s="428">
        <f>H262+(E505/1000)</f>
        <v>20.062999999999999</v>
      </c>
      <c r="K262" s="428">
        <v>0</v>
      </c>
      <c r="L262" s="10"/>
    </row>
    <row r="263" spans="2:12" ht="17.5" x14ac:dyDescent="0.45">
      <c r="B263" s="31"/>
      <c r="C263" s="22" t="s">
        <v>128</v>
      </c>
      <c r="D263" s="428">
        <f>17.344+1.199+0.103+0.277</f>
        <v>18.923000000000005</v>
      </c>
      <c r="E263" s="428">
        <f>111.55+26.19+2.39+4.11</f>
        <v>144.24</v>
      </c>
      <c r="F263" s="428">
        <v>12.186999999999999</v>
      </c>
      <c r="G263" s="428">
        <v>56.29</v>
      </c>
      <c r="H263" s="428">
        <v>6.7350000000000003</v>
      </c>
      <c r="I263" s="428">
        <v>87.95</v>
      </c>
      <c r="J263" s="428">
        <f>H263</f>
        <v>6.7350000000000003</v>
      </c>
      <c r="K263" s="428">
        <v>0</v>
      </c>
      <c r="L263" s="10"/>
    </row>
    <row r="264" spans="2:12" ht="17.5" x14ac:dyDescent="0.45">
      <c r="B264" s="31"/>
      <c r="C264" s="22" t="s">
        <v>53</v>
      </c>
      <c r="D264" s="428">
        <f>17.85+0.786</f>
        <v>18.636000000000003</v>
      </c>
      <c r="E264" s="428">
        <f>78.08+1.82</f>
        <v>79.899999999999991</v>
      </c>
      <c r="F264" s="428">
        <v>4.83</v>
      </c>
      <c r="G264" s="428">
        <f>13.22+0.62</f>
        <v>13.84</v>
      </c>
      <c r="H264" s="428">
        <f>13.443+0.359</f>
        <v>13.802</v>
      </c>
      <c r="I264" s="428">
        <f>64.87+1.21</f>
        <v>66.08</v>
      </c>
      <c r="J264" s="428">
        <f>H264</f>
        <v>13.802</v>
      </c>
      <c r="K264" s="428">
        <v>0</v>
      </c>
      <c r="L264" s="10"/>
    </row>
    <row r="265" spans="2:12" ht="17.5" x14ac:dyDescent="0.45">
      <c r="B265" s="31"/>
      <c r="C265" s="22" t="s">
        <v>76</v>
      </c>
      <c r="D265" s="428">
        <v>2.0179999999999998</v>
      </c>
      <c r="E265" s="428">
        <v>13.43</v>
      </c>
      <c r="F265" s="428">
        <v>0.504</v>
      </c>
      <c r="G265" s="428">
        <v>5.0999999999999996</v>
      </c>
      <c r="H265" s="428">
        <v>1.514</v>
      </c>
      <c r="I265" s="428">
        <v>8.33</v>
      </c>
      <c r="J265" s="428">
        <f>H265</f>
        <v>1.514</v>
      </c>
      <c r="K265" s="428">
        <v>0</v>
      </c>
      <c r="L265" s="10"/>
    </row>
    <row r="266" spans="2:12" ht="17.5" x14ac:dyDescent="0.45">
      <c r="B266" s="24"/>
      <c r="C266" s="36" t="s">
        <v>92</v>
      </c>
      <c r="D266" s="429">
        <v>1.244</v>
      </c>
      <c r="E266" s="429">
        <v>9.6</v>
      </c>
      <c r="F266" s="429">
        <v>0</v>
      </c>
      <c r="G266" s="429">
        <v>0</v>
      </c>
      <c r="H266" s="429">
        <v>1.244</v>
      </c>
      <c r="I266" s="429">
        <v>9.6</v>
      </c>
      <c r="J266" s="428">
        <f>H266</f>
        <v>1.244</v>
      </c>
      <c r="K266" s="429">
        <v>0</v>
      </c>
      <c r="L266" s="10"/>
    </row>
    <row r="267" spans="2:12" ht="16.5" x14ac:dyDescent="0.45">
      <c r="B267" s="33" t="s">
        <v>61</v>
      </c>
      <c r="C267" s="33" t="s">
        <v>80</v>
      </c>
      <c r="D267" s="87">
        <f t="shared" ref="D267:K267" si="18">SUM(D269:D273)</f>
        <v>56.850000000000009</v>
      </c>
      <c r="E267" s="87">
        <f t="shared" si="18"/>
        <v>576.83000000000004</v>
      </c>
      <c r="F267" s="87">
        <f t="shared" si="18"/>
        <v>32.856999999999999</v>
      </c>
      <c r="G267" s="87">
        <f t="shared" si="18"/>
        <v>278.84000000000003</v>
      </c>
      <c r="H267" s="87">
        <f t="shared" si="18"/>
        <v>34.552999999999997</v>
      </c>
      <c r="I267" s="87">
        <f t="shared" si="18"/>
        <v>305.13</v>
      </c>
      <c r="J267" s="87">
        <f t="shared" si="18"/>
        <v>45.114999999999995</v>
      </c>
      <c r="K267" s="87">
        <f t="shared" si="18"/>
        <v>0</v>
      </c>
      <c r="L267" s="469"/>
    </row>
    <row r="268" spans="2:12" ht="16.5" x14ac:dyDescent="0.45">
      <c r="B268" s="859" t="s">
        <v>130</v>
      </c>
      <c r="C268" s="31" t="s">
        <v>127</v>
      </c>
      <c r="D268" s="88">
        <f t="shared" ref="D268" si="19">SUM(D269:D271)</f>
        <v>45.628000000000007</v>
      </c>
      <c r="E268" s="88">
        <f t="shared" ref="E268" si="20">SUM(E269:E271)</f>
        <v>413.23</v>
      </c>
      <c r="F268" s="88">
        <f t="shared" ref="F268" si="21">SUM(F269:F271)</f>
        <v>26.146999999999998</v>
      </c>
      <c r="G268" s="88">
        <f t="shared" ref="G268" si="22">SUM(G269:G271)</f>
        <v>163.68</v>
      </c>
      <c r="H268" s="88">
        <f t="shared" ref="H268" si="23">SUM(H269:H271)</f>
        <v>30.038</v>
      </c>
      <c r="I268" s="88">
        <f t="shared" ref="I268" si="24">SUM(I269:I271)</f>
        <v>249.57</v>
      </c>
      <c r="J268" s="88">
        <f t="shared" ref="J268" si="25">SUM(J269:J271)</f>
        <v>40.599999999999994</v>
      </c>
      <c r="K268" s="88">
        <f t="shared" ref="K268" si="26">SUM(K269:K271)</f>
        <v>0</v>
      </c>
      <c r="L268" s="469"/>
    </row>
    <row r="269" spans="2:12" ht="16.5" x14ac:dyDescent="0.45">
      <c r="B269" s="31"/>
      <c r="C269" s="22" t="s">
        <v>51</v>
      </c>
      <c r="D269" s="428">
        <f>D262</f>
        <v>8.0689999999999991</v>
      </c>
      <c r="E269" s="428">
        <f t="shared" ref="E269:J269" si="27">E262</f>
        <v>189.09</v>
      </c>
      <c r="F269" s="428">
        <f t="shared" si="27"/>
        <v>9.1300000000000008</v>
      </c>
      <c r="G269" s="428">
        <f t="shared" si="27"/>
        <v>93.55</v>
      </c>
      <c r="H269" s="428">
        <f t="shared" si="27"/>
        <v>9.5009999999999994</v>
      </c>
      <c r="I269" s="428">
        <f t="shared" si="27"/>
        <v>95.539999999999992</v>
      </c>
      <c r="J269" s="428">
        <f t="shared" si="27"/>
        <v>20.062999999999999</v>
      </c>
      <c r="K269" s="88">
        <v>0</v>
      </c>
      <c r="L269" s="469"/>
    </row>
    <row r="270" spans="2:12" ht="16.5" x14ac:dyDescent="0.45">
      <c r="B270" s="31"/>
      <c r="C270" s="22" t="s">
        <v>128</v>
      </c>
      <c r="D270" s="428">
        <f t="shared" ref="D270:J270" si="28">D263</f>
        <v>18.923000000000005</v>
      </c>
      <c r="E270" s="428">
        <f t="shared" si="28"/>
        <v>144.24</v>
      </c>
      <c r="F270" s="428">
        <f t="shared" si="28"/>
        <v>12.186999999999999</v>
      </c>
      <c r="G270" s="428">
        <f t="shared" si="28"/>
        <v>56.29</v>
      </c>
      <c r="H270" s="428">
        <f t="shared" si="28"/>
        <v>6.7350000000000003</v>
      </c>
      <c r="I270" s="428">
        <f t="shared" si="28"/>
        <v>87.95</v>
      </c>
      <c r="J270" s="428">
        <f t="shared" si="28"/>
        <v>6.7350000000000003</v>
      </c>
      <c r="K270" s="88">
        <v>0</v>
      </c>
      <c r="L270" s="469"/>
    </row>
    <row r="271" spans="2:12" ht="16.5" x14ac:dyDescent="0.45">
      <c r="B271" s="31"/>
      <c r="C271" s="22" t="s">
        <v>53</v>
      </c>
      <c r="D271" s="428">
        <f t="shared" ref="D271:J271" si="29">D264</f>
        <v>18.636000000000003</v>
      </c>
      <c r="E271" s="428">
        <f t="shared" si="29"/>
        <v>79.899999999999991</v>
      </c>
      <c r="F271" s="428">
        <f t="shared" si="29"/>
        <v>4.83</v>
      </c>
      <c r="G271" s="428">
        <f t="shared" si="29"/>
        <v>13.84</v>
      </c>
      <c r="H271" s="428">
        <f t="shared" si="29"/>
        <v>13.802</v>
      </c>
      <c r="I271" s="428">
        <f t="shared" si="29"/>
        <v>66.08</v>
      </c>
      <c r="J271" s="428">
        <f t="shared" si="29"/>
        <v>13.802</v>
      </c>
      <c r="K271" s="88">
        <v>0</v>
      </c>
      <c r="L271" s="469"/>
    </row>
    <row r="272" spans="2:12" ht="16.5" x14ac:dyDescent="0.45">
      <c r="B272" s="31"/>
      <c r="C272" s="22" t="s">
        <v>76</v>
      </c>
      <c r="D272" s="428">
        <f>D265+7.96</f>
        <v>9.9779999999999998</v>
      </c>
      <c r="E272" s="428">
        <f>E265+140.57</f>
        <v>154</v>
      </c>
      <c r="F272" s="428">
        <f>F265+6.206</f>
        <v>6.7100000000000009</v>
      </c>
      <c r="G272" s="428">
        <f>G265+110.06</f>
        <v>115.16</v>
      </c>
      <c r="H272" s="428">
        <f>H279+1.467</f>
        <v>3.2709999999999995</v>
      </c>
      <c r="I272" s="428">
        <f>I279+30.51</f>
        <v>45.960000000000008</v>
      </c>
      <c r="J272" s="428">
        <f>H272</f>
        <v>3.2709999999999995</v>
      </c>
      <c r="K272" s="428">
        <v>0</v>
      </c>
      <c r="L272" s="469"/>
    </row>
    <row r="273" spans="2:12" ht="17" thickBot="1" x14ac:dyDescent="0.5">
      <c r="B273" s="24"/>
      <c r="C273" s="36" t="s">
        <v>92</v>
      </c>
      <c r="D273" s="429">
        <f>D266</f>
        <v>1.244</v>
      </c>
      <c r="E273" s="429">
        <f t="shared" ref="E273:K273" si="30">E266</f>
        <v>9.6</v>
      </c>
      <c r="F273" s="429">
        <f t="shared" si="30"/>
        <v>0</v>
      </c>
      <c r="G273" s="429">
        <f t="shared" si="30"/>
        <v>0</v>
      </c>
      <c r="H273" s="429">
        <f t="shared" si="30"/>
        <v>1.244</v>
      </c>
      <c r="I273" s="429">
        <f t="shared" si="30"/>
        <v>9.6</v>
      </c>
      <c r="J273" s="429">
        <f t="shared" si="30"/>
        <v>1.244</v>
      </c>
      <c r="K273" s="429">
        <f t="shared" si="30"/>
        <v>0</v>
      </c>
      <c r="L273" s="469"/>
    </row>
    <row r="274" spans="2:12" ht="17.5" x14ac:dyDescent="0.45">
      <c r="B274" s="33" t="s">
        <v>47</v>
      </c>
      <c r="C274" s="33" t="s">
        <v>80</v>
      </c>
      <c r="D274" s="755">
        <f t="shared" ref="D274:I274" si="31">SUM(D276:D280)</f>
        <v>82.484000000000009</v>
      </c>
      <c r="E274" s="755">
        <f t="shared" si="31"/>
        <v>544.16000000000008</v>
      </c>
      <c r="F274" s="755">
        <f t="shared" si="31"/>
        <v>45.535000000000004</v>
      </c>
      <c r="G274" s="755">
        <f t="shared" si="31"/>
        <v>222.97000000000003</v>
      </c>
      <c r="H274" s="755">
        <f t="shared" si="31"/>
        <v>36.952000000000005</v>
      </c>
      <c r="I274" s="755">
        <f t="shared" si="31"/>
        <v>320.58799999999997</v>
      </c>
      <c r="J274" s="434"/>
      <c r="K274" s="434"/>
      <c r="L274" s="10"/>
    </row>
    <row r="275" spans="2:12" ht="17.5" x14ac:dyDescent="0.45">
      <c r="B275" s="31"/>
      <c r="C275" s="22" t="s">
        <v>127</v>
      </c>
      <c r="D275" s="755">
        <f>D282</f>
        <v>78.823999999999998</v>
      </c>
      <c r="E275" s="755">
        <f t="shared" ref="E275:I275" si="32">E282</f>
        <v>512.09</v>
      </c>
      <c r="F275" s="755">
        <f t="shared" si="32"/>
        <v>44.938000000000002</v>
      </c>
      <c r="G275" s="755">
        <f t="shared" si="32"/>
        <v>216.05</v>
      </c>
      <c r="H275" s="755">
        <f t="shared" si="32"/>
        <v>33.888000000000005</v>
      </c>
      <c r="I275" s="755">
        <f t="shared" si="32"/>
        <v>295.44299999999998</v>
      </c>
      <c r="J275" s="434"/>
      <c r="K275" s="434"/>
      <c r="L275" s="10"/>
    </row>
    <row r="276" spans="2:12" ht="17.5" x14ac:dyDescent="0.45">
      <c r="B276" s="31"/>
      <c r="C276" s="22" t="s">
        <v>51</v>
      </c>
      <c r="D276" s="428">
        <f>D283</f>
        <v>38.585000000000001</v>
      </c>
      <c r="E276" s="428">
        <f t="shared" ref="E276:I276" si="33">E283</f>
        <v>241.92999999999998</v>
      </c>
      <c r="F276" s="428">
        <f t="shared" si="33"/>
        <v>26.658000000000001</v>
      </c>
      <c r="G276" s="428">
        <f t="shared" si="33"/>
        <v>122.46000000000001</v>
      </c>
      <c r="H276" s="428">
        <f t="shared" si="33"/>
        <v>11.928000000000001</v>
      </c>
      <c r="I276" s="428">
        <f t="shared" si="33"/>
        <v>118.88200000000001</v>
      </c>
      <c r="J276" s="434"/>
      <c r="K276" s="434"/>
      <c r="L276" s="10"/>
    </row>
    <row r="277" spans="2:12" ht="17.5" x14ac:dyDescent="0.45">
      <c r="B277" s="31"/>
      <c r="C277" s="149" t="s">
        <v>131</v>
      </c>
      <c r="D277" s="428">
        <f>D284</f>
        <v>20.811</v>
      </c>
      <c r="E277" s="428">
        <f t="shared" ref="E277:I277" si="34">E284</f>
        <v>157.04000000000002</v>
      </c>
      <c r="F277" s="428">
        <f t="shared" si="34"/>
        <v>12.542999999999999</v>
      </c>
      <c r="G277" s="428">
        <f t="shared" si="34"/>
        <v>65.56</v>
      </c>
      <c r="H277" s="428">
        <f t="shared" si="34"/>
        <v>8.2690000000000001</v>
      </c>
      <c r="I277" s="428">
        <f t="shared" si="34"/>
        <v>91.477000000000004</v>
      </c>
      <c r="J277" s="434"/>
      <c r="K277" s="434"/>
      <c r="L277" s="10"/>
    </row>
    <row r="278" spans="2:12" ht="17.5" x14ac:dyDescent="0.45">
      <c r="B278" s="31"/>
      <c r="C278" s="22" t="s">
        <v>53</v>
      </c>
      <c r="D278" s="428">
        <f>D285</f>
        <v>19.428000000000001</v>
      </c>
      <c r="E278" s="428">
        <f t="shared" ref="E278:I278" si="35">E285</f>
        <v>113.12</v>
      </c>
      <c r="F278" s="428">
        <f t="shared" si="35"/>
        <v>5.7370000000000001</v>
      </c>
      <c r="G278" s="428">
        <f t="shared" si="35"/>
        <v>28.03</v>
      </c>
      <c r="H278" s="428">
        <f t="shared" si="35"/>
        <v>13.691000000000001</v>
      </c>
      <c r="I278" s="428">
        <f t="shared" si="35"/>
        <v>85.084000000000003</v>
      </c>
      <c r="J278" s="434"/>
      <c r="K278" s="434"/>
      <c r="L278" s="10"/>
    </row>
    <row r="279" spans="2:12" ht="17.5" x14ac:dyDescent="0.45">
      <c r="B279" s="31"/>
      <c r="C279" s="22" t="s">
        <v>76</v>
      </c>
      <c r="D279" s="428">
        <f>D286-7.949</f>
        <v>2.4000000000000004</v>
      </c>
      <c r="E279" s="428">
        <f>E286-100.06</f>
        <v>22.370000000000005</v>
      </c>
      <c r="F279" s="428">
        <f>F286-3.974</f>
        <v>0.59699999999999953</v>
      </c>
      <c r="G279" s="428">
        <f>G286-49.11</f>
        <v>6.9200000000000017</v>
      </c>
      <c r="H279" s="428">
        <f>H286-(3.785+0.189)</f>
        <v>1.8039999999999994</v>
      </c>
      <c r="I279" s="428">
        <f>I286-50.95</f>
        <v>15.450000000000003</v>
      </c>
      <c r="J279" s="434"/>
      <c r="K279" s="434"/>
      <c r="L279" s="10"/>
    </row>
    <row r="280" spans="2:12" ht="18" thickBot="1" x14ac:dyDescent="0.5">
      <c r="B280" s="24"/>
      <c r="C280" s="36" t="s">
        <v>92</v>
      </c>
      <c r="D280" s="428">
        <f t="shared" ref="D280:I280" si="36">D287</f>
        <v>1.26</v>
      </c>
      <c r="E280" s="428">
        <f t="shared" si="36"/>
        <v>9.6999999999999993</v>
      </c>
      <c r="F280" s="428">
        <f t="shared" si="36"/>
        <v>0</v>
      </c>
      <c r="G280" s="428">
        <f t="shared" si="36"/>
        <v>0</v>
      </c>
      <c r="H280" s="428">
        <f t="shared" si="36"/>
        <v>1.26</v>
      </c>
      <c r="I280" s="428">
        <f t="shared" si="36"/>
        <v>9.6950000000000003</v>
      </c>
      <c r="J280" s="434"/>
      <c r="K280" s="434"/>
      <c r="L280" s="10"/>
    </row>
    <row r="281" spans="2:12" ht="17.5" x14ac:dyDescent="0.45">
      <c r="B281" s="33" t="s">
        <v>48</v>
      </c>
      <c r="C281" s="33" t="s">
        <v>80</v>
      </c>
      <c r="D281" s="87">
        <v>90.433000000000007</v>
      </c>
      <c r="E281" s="87">
        <v>644.22</v>
      </c>
      <c r="F281" s="87">
        <v>49.509</v>
      </c>
      <c r="G281" s="87">
        <v>272.08000000000004</v>
      </c>
      <c r="H281" s="87">
        <v>40.926000000000002</v>
      </c>
      <c r="I281" s="87">
        <v>371.53799999999995</v>
      </c>
      <c r="J281" s="10"/>
      <c r="K281" s="10"/>
      <c r="L281" s="10"/>
    </row>
    <row r="282" spans="2:12" ht="17.5" x14ac:dyDescent="0.45">
      <c r="B282" s="31"/>
      <c r="C282" s="22" t="s">
        <v>127</v>
      </c>
      <c r="D282" s="88">
        <v>78.823999999999998</v>
      </c>
      <c r="E282" s="88">
        <v>512.09</v>
      </c>
      <c r="F282" s="88">
        <v>44.938000000000002</v>
      </c>
      <c r="G282" s="88">
        <v>216.05</v>
      </c>
      <c r="H282" s="88">
        <v>33.888000000000005</v>
      </c>
      <c r="I282" s="88">
        <v>295.44299999999998</v>
      </c>
      <c r="J282" s="20"/>
      <c r="K282" s="10"/>
      <c r="L282" s="10"/>
    </row>
    <row r="283" spans="2:12" ht="17.5" x14ac:dyDescent="0.45">
      <c r="B283" s="31"/>
      <c r="C283" s="22" t="s">
        <v>51</v>
      </c>
      <c r="D283" s="89">
        <v>38.585000000000001</v>
      </c>
      <c r="E283" s="89">
        <v>241.92999999999998</v>
      </c>
      <c r="F283" s="89">
        <v>26.658000000000001</v>
      </c>
      <c r="G283" s="89">
        <v>122.46000000000001</v>
      </c>
      <c r="H283" s="89">
        <v>11.928000000000001</v>
      </c>
      <c r="I283" s="89">
        <v>118.88200000000001</v>
      </c>
      <c r="J283" s="20"/>
      <c r="K283" s="10"/>
      <c r="L283" s="10"/>
    </row>
    <row r="284" spans="2:12" ht="17.5" x14ac:dyDescent="0.45">
      <c r="B284" s="31"/>
      <c r="C284" s="149" t="s">
        <v>131</v>
      </c>
      <c r="D284" s="89">
        <v>20.811</v>
      </c>
      <c r="E284" s="89">
        <v>157.04000000000002</v>
      </c>
      <c r="F284" s="89">
        <v>12.542999999999999</v>
      </c>
      <c r="G284" s="89">
        <v>65.56</v>
      </c>
      <c r="H284" s="89">
        <v>8.2690000000000001</v>
      </c>
      <c r="I284" s="89">
        <v>91.477000000000004</v>
      </c>
      <c r="J284" s="20"/>
      <c r="K284" s="10"/>
      <c r="L284" s="10"/>
    </row>
    <row r="285" spans="2:12" ht="17.5" x14ac:dyDescent="0.45">
      <c r="B285" s="31"/>
      <c r="C285" s="22" t="s">
        <v>53</v>
      </c>
      <c r="D285" s="89">
        <v>19.428000000000001</v>
      </c>
      <c r="E285" s="89">
        <v>113.12</v>
      </c>
      <c r="F285" s="89">
        <v>5.7370000000000001</v>
      </c>
      <c r="G285" s="89">
        <v>28.03</v>
      </c>
      <c r="H285" s="89">
        <v>13.691000000000001</v>
      </c>
      <c r="I285" s="89">
        <v>85.084000000000003</v>
      </c>
      <c r="J285" s="20"/>
      <c r="K285" s="10"/>
      <c r="L285" s="10"/>
    </row>
    <row r="286" spans="2:12" ht="17.5" x14ac:dyDescent="0.45">
      <c r="B286" s="31"/>
      <c r="C286" s="22" t="s">
        <v>76</v>
      </c>
      <c r="D286" s="89">
        <v>10.349</v>
      </c>
      <c r="E286" s="89">
        <v>122.43</v>
      </c>
      <c r="F286" s="89">
        <v>4.5709999999999997</v>
      </c>
      <c r="G286" s="89">
        <v>56.03</v>
      </c>
      <c r="H286" s="89">
        <v>5.7779999999999996</v>
      </c>
      <c r="I286" s="89">
        <v>66.400000000000006</v>
      </c>
      <c r="J286" s="20"/>
      <c r="K286" s="10"/>
      <c r="L286" s="10"/>
    </row>
    <row r="287" spans="2:12" ht="18" thickBot="1" x14ac:dyDescent="0.5">
      <c r="B287" s="24"/>
      <c r="C287" s="36" t="s">
        <v>92</v>
      </c>
      <c r="D287" s="177">
        <v>1.26</v>
      </c>
      <c r="E287" s="177">
        <v>9.6999999999999993</v>
      </c>
      <c r="F287" s="177">
        <v>0</v>
      </c>
      <c r="G287" s="177">
        <v>0</v>
      </c>
      <c r="H287" s="177">
        <v>1.26</v>
      </c>
      <c r="I287" s="177">
        <v>9.6950000000000003</v>
      </c>
      <c r="J287" s="20"/>
      <c r="K287" s="10"/>
      <c r="L287" s="10"/>
    </row>
    <row r="288" spans="2:12" ht="17.5" x14ac:dyDescent="0.45">
      <c r="B288" s="33" t="s">
        <v>49</v>
      </c>
      <c r="C288" s="33" t="s">
        <v>80</v>
      </c>
      <c r="D288" s="178">
        <f t="shared" ref="D288:I288" si="37">SUM(D290:D295)</f>
        <v>109.68001537254416</v>
      </c>
      <c r="E288" s="178">
        <f t="shared" si="37"/>
        <v>1197.9999999999998</v>
      </c>
      <c r="F288" s="297">
        <f t="shared" si="37"/>
        <v>64.397536464485526</v>
      </c>
      <c r="G288" s="178">
        <f t="shared" si="37"/>
        <v>918</v>
      </c>
      <c r="H288" s="178">
        <f t="shared" si="37"/>
        <v>45.282478908058614</v>
      </c>
      <c r="I288" s="178">
        <f t="shared" si="37"/>
        <v>280</v>
      </c>
      <c r="J288" s="10"/>
      <c r="K288" s="10"/>
      <c r="L288" s="10"/>
    </row>
    <row r="289" spans="2:12" ht="17.5" x14ac:dyDescent="0.45">
      <c r="B289" s="31"/>
      <c r="C289" s="22" t="s">
        <v>127</v>
      </c>
      <c r="D289" s="179">
        <f t="shared" ref="D289:I289" si="38">SUM(D290:D292)</f>
        <v>90.390015372544156</v>
      </c>
      <c r="E289" s="179">
        <f t="shared" si="38"/>
        <v>1038.5999999999999</v>
      </c>
      <c r="F289" s="179">
        <f t="shared" si="38"/>
        <v>57.483536464485525</v>
      </c>
      <c r="G289" s="179">
        <f t="shared" si="38"/>
        <v>830</v>
      </c>
      <c r="H289" s="179">
        <f t="shared" si="38"/>
        <v>32.906478908058617</v>
      </c>
      <c r="I289" s="179">
        <f t="shared" si="38"/>
        <v>208.6</v>
      </c>
      <c r="J289" s="20"/>
      <c r="K289" s="10"/>
      <c r="L289" s="10"/>
    </row>
    <row r="290" spans="2:12" ht="17.5" x14ac:dyDescent="0.45">
      <c r="B290" s="31"/>
      <c r="C290" s="22" t="s">
        <v>51</v>
      </c>
      <c r="D290" s="180">
        <f>F290+H290</f>
        <v>54.213999999999999</v>
      </c>
      <c r="E290" s="180">
        <f>SUM(G290,I290)</f>
        <v>692.5</v>
      </c>
      <c r="F290" s="180">
        <f>42113/1000</f>
        <v>42.113</v>
      </c>
      <c r="G290" s="180">
        <v>577</v>
      </c>
      <c r="H290" s="180">
        <f>12101/1000</f>
        <v>12.101000000000001</v>
      </c>
      <c r="I290" s="180">
        <v>115.5</v>
      </c>
      <c r="J290" s="20"/>
      <c r="K290" s="10"/>
      <c r="L290" s="10"/>
    </row>
    <row r="291" spans="2:12" ht="17.5" x14ac:dyDescent="0.45">
      <c r="B291" s="31"/>
      <c r="C291" s="22" t="s">
        <v>128</v>
      </c>
      <c r="D291" s="180">
        <f>F291+H291</f>
        <v>16.45555299796677</v>
      </c>
      <c r="E291" s="180">
        <f>SUM(G291,I291)</f>
        <v>204.6</v>
      </c>
      <c r="F291" s="180">
        <f>9509.89494824505/1000</f>
        <v>9.5098949482450497</v>
      </c>
      <c r="G291" s="180">
        <v>172</v>
      </c>
      <c r="H291" s="180">
        <f>6945.65804972172/1000</f>
        <v>6.94565804972172</v>
      </c>
      <c r="I291" s="180">
        <v>32.6</v>
      </c>
      <c r="J291" s="20"/>
      <c r="K291" s="10"/>
      <c r="L291" s="10"/>
    </row>
    <row r="292" spans="2:12" ht="17.5" x14ac:dyDescent="0.45">
      <c r="B292" s="31"/>
      <c r="C292" s="22" t="s">
        <v>53</v>
      </c>
      <c r="D292" s="180">
        <f>F292+H292</f>
        <v>19.72046237457738</v>
      </c>
      <c r="E292" s="180">
        <f>SUM(G292,I292)</f>
        <v>141.5</v>
      </c>
      <c r="F292" s="180">
        <f>5860.64151624048/1000</f>
        <v>5.8606415162404799</v>
      </c>
      <c r="G292" s="180">
        <v>81</v>
      </c>
      <c r="H292" s="180">
        <f>13859.8208583369/1000</f>
        <v>13.859820858336899</v>
      </c>
      <c r="I292" s="180">
        <v>60.5</v>
      </c>
      <c r="J292" s="20"/>
      <c r="K292" s="10"/>
      <c r="L292" s="10"/>
    </row>
    <row r="293" spans="2:12" ht="17.5" x14ac:dyDescent="0.45">
      <c r="B293" s="31"/>
      <c r="C293" s="22" t="s">
        <v>76</v>
      </c>
      <c r="D293" s="180">
        <f>F293+H293</f>
        <v>13.521000000000001</v>
      </c>
      <c r="E293" s="180">
        <f>SUM(G293,I293)</f>
        <v>141.10000000000002</v>
      </c>
      <c r="F293" s="180">
        <f>4710/1000</f>
        <v>4.71</v>
      </c>
      <c r="G293" s="180">
        <v>83.9</v>
      </c>
      <c r="H293" s="180">
        <f>8811/1000</f>
        <v>8.8109999999999999</v>
      </c>
      <c r="I293" s="180">
        <v>57.2</v>
      </c>
      <c r="J293" s="20"/>
      <c r="K293" s="10"/>
      <c r="L293" s="10"/>
    </row>
    <row r="294" spans="2:12" ht="18" thickBot="1" x14ac:dyDescent="0.5">
      <c r="B294" s="24"/>
      <c r="C294" s="36" t="s">
        <v>92</v>
      </c>
      <c r="D294" s="177">
        <f>F294+H294</f>
        <v>5.7690000000000001</v>
      </c>
      <c r="E294" s="177">
        <f>SUM(G294,I294)</f>
        <v>18.299999999999997</v>
      </c>
      <c r="F294" s="177">
        <f>2204/1000</f>
        <v>2.2040000000000002</v>
      </c>
      <c r="G294" s="177">
        <v>4.0999999999999996</v>
      </c>
      <c r="H294" s="177">
        <f>(2137+1428)/1000</f>
        <v>3.5649999999999999</v>
      </c>
      <c r="I294" s="177">
        <f>4.7+9.5</f>
        <v>14.2</v>
      </c>
      <c r="J294" s="20"/>
      <c r="K294" s="10"/>
      <c r="L294" s="10"/>
    </row>
    <row r="295" spans="2:12" ht="18" hidden="1" thickBot="1" x14ac:dyDescent="0.5">
      <c r="B295" s="43"/>
      <c r="C295" s="44"/>
      <c r="D295" s="51"/>
      <c r="E295" s="51"/>
      <c r="F295" s="51"/>
      <c r="G295" s="51"/>
      <c r="H295" s="51"/>
      <c r="I295" s="51"/>
      <c r="J295" s="20"/>
      <c r="K295" s="10"/>
      <c r="L295" s="10"/>
    </row>
    <row r="296" spans="2:12" ht="17.5" x14ac:dyDescent="0.45">
      <c r="B296" s="33" t="s">
        <v>50</v>
      </c>
      <c r="C296" s="33" t="s">
        <v>80</v>
      </c>
      <c r="D296" s="87">
        <v>120.76</v>
      </c>
      <c r="E296" s="87">
        <v>1468.09</v>
      </c>
      <c r="F296" s="87">
        <v>78.94</v>
      </c>
      <c r="G296" s="87">
        <v>1151.5</v>
      </c>
      <c r="H296" s="87">
        <v>41.82</v>
      </c>
      <c r="I296" s="87">
        <v>316.58999999999997</v>
      </c>
      <c r="J296" s="53"/>
      <c r="K296" s="10"/>
      <c r="L296" s="10"/>
    </row>
    <row r="297" spans="2:12" ht="17.5" x14ac:dyDescent="0.45">
      <c r="B297" s="31"/>
      <c r="C297" s="22" t="s">
        <v>127</v>
      </c>
      <c r="D297" s="88">
        <v>95.71</v>
      </c>
      <c r="E297" s="88">
        <v>1178.83</v>
      </c>
      <c r="F297" s="88">
        <v>69.17</v>
      </c>
      <c r="G297" s="88">
        <v>967</v>
      </c>
      <c r="H297" s="88">
        <v>26.54</v>
      </c>
      <c r="I297" s="88">
        <v>211.83</v>
      </c>
      <c r="J297" s="20"/>
      <c r="K297" s="10"/>
      <c r="L297" s="10"/>
    </row>
    <row r="298" spans="2:12" ht="17.5" x14ac:dyDescent="0.45">
      <c r="B298" s="31"/>
      <c r="C298" s="22" t="s">
        <v>51</v>
      </c>
      <c r="D298" s="89">
        <v>59.78</v>
      </c>
      <c r="E298" s="89">
        <v>816.91</v>
      </c>
      <c r="F298" s="89">
        <v>46.66</v>
      </c>
      <c r="G298" s="89">
        <v>700.01</v>
      </c>
      <c r="H298" s="89">
        <v>13.12</v>
      </c>
      <c r="I298" s="89">
        <v>116.9</v>
      </c>
      <c r="J298" s="20"/>
      <c r="K298" s="10"/>
      <c r="L298" s="10"/>
    </row>
    <row r="299" spans="2:12" ht="17.5" x14ac:dyDescent="0.45">
      <c r="B299" s="31"/>
      <c r="C299" s="22" t="s">
        <v>128</v>
      </c>
      <c r="D299" s="89">
        <v>15.1</v>
      </c>
      <c r="E299" s="89">
        <v>195.92</v>
      </c>
      <c r="F299" s="89">
        <v>8.6999999999999993</v>
      </c>
      <c r="G299" s="89">
        <v>162.82</v>
      </c>
      <c r="H299" s="89">
        <v>6.4</v>
      </c>
      <c r="I299" s="89">
        <v>33.090000000000003</v>
      </c>
      <c r="J299" s="20"/>
      <c r="K299" s="10"/>
      <c r="L299" s="10"/>
    </row>
    <row r="300" spans="2:12" ht="17.5" x14ac:dyDescent="0.45">
      <c r="B300" s="31"/>
      <c r="C300" s="22" t="s">
        <v>53</v>
      </c>
      <c r="D300" s="89">
        <v>20.83</v>
      </c>
      <c r="E300" s="89">
        <v>166</v>
      </c>
      <c r="F300" s="89">
        <v>13.81</v>
      </c>
      <c r="G300" s="89">
        <v>104.17</v>
      </c>
      <c r="H300" s="89">
        <v>7.02</v>
      </c>
      <c r="I300" s="89">
        <v>61.83</v>
      </c>
      <c r="J300" s="20"/>
      <c r="K300" s="10"/>
      <c r="L300" s="10"/>
    </row>
    <row r="301" spans="2:12" ht="17.5" x14ac:dyDescent="0.45">
      <c r="B301" s="31"/>
      <c r="C301" s="22" t="s">
        <v>76</v>
      </c>
      <c r="D301" s="89">
        <v>19.16</v>
      </c>
      <c r="E301" s="89">
        <v>214.65</v>
      </c>
      <c r="F301" s="89">
        <v>7.73</v>
      </c>
      <c r="G301" s="89">
        <v>137</v>
      </c>
      <c r="H301" s="89">
        <v>11.44</v>
      </c>
      <c r="I301" s="89">
        <v>77.650000000000006</v>
      </c>
      <c r="J301" s="20"/>
      <c r="K301" s="20"/>
      <c r="L301" s="10"/>
    </row>
    <row r="302" spans="2:12" ht="17.5" x14ac:dyDescent="0.45">
      <c r="B302" s="31"/>
      <c r="C302" s="22" t="s">
        <v>82</v>
      </c>
      <c r="D302" s="89">
        <v>4.46</v>
      </c>
      <c r="E302" s="89">
        <v>64.569999999999993</v>
      </c>
      <c r="F302" s="89">
        <v>2.04</v>
      </c>
      <c r="G302" s="89">
        <v>47.47</v>
      </c>
      <c r="H302" s="89">
        <v>2.42</v>
      </c>
      <c r="I302" s="89">
        <v>17.11</v>
      </c>
      <c r="J302" s="20"/>
      <c r="K302" s="20"/>
      <c r="L302" s="10"/>
    </row>
    <row r="303" spans="2:12" ht="18" thickBot="1" x14ac:dyDescent="0.5">
      <c r="B303" s="24"/>
      <c r="C303" s="36" t="s">
        <v>92</v>
      </c>
      <c r="D303" s="90">
        <v>1.43</v>
      </c>
      <c r="E303" s="90">
        <v>10.039999999999999</v>
      </c>
      <c r="F303" s="90">
        <v>0</v>
      </c>
      <c r="G303" s="90">
        <v>0.04</v>
      </c>
      <c r="H303" s="90">
        <v>1.43</v>
      </c>
      <c r="I303" s="90">
        <v>10</v>
      </c>
      <c r="J303" s="20"/>
      <c r="K303" s="20"/>
      <c r="L303" s="10"/>
    </row>
    <row r="304" spans="2:12" ht="17.5" x14ac:dyDescent="0.45">
      <c r="B304" s="19"/>
      <c r="C304" s="19"/>
      <c r="D304" s="20"/>
      <c r="E304" s="20"/>
      <c r="F304" s="20"/>
      <c r="G304" s="20"/>
      <c r="H304" s="20"/>
      <c r="I304" s="20"/>
      <c r="J304" s="10"/>
      <c r="K304" s="20"/>
      <c r="L304" s="10"/>
    </row>
    <row r="305" spans="1:32" s="601" customFormat="1" ht="17.5" x14ac:dyDescent="0.45">
      <c r="B305" s="657" t="s">
        <v>16</v>
      </c>
      <c r="C305" s="657"/>
      <c r="D305" s="604"/>
      <c r="E305" s="604"/>
      <c r="F305" s="604"/>
      <c r="G305" s="604"/>
      <c r="H305" s="604"/>
      <c r="I305" s="604"/>
      <c r="J305" s="604"/>
      <c r="K305" s="604"/>
      <c r="L305" s="658"/>
    </row>
    <row r="306" spans="1:32" ht="6" customHeight="1" thickBot="1" x14ac:dyDescent="0.5">
      <c r="B306" s="19"/>
      <c r="C306" s="19"/>
      <c r="D306" s="20"/>
      <c r="E306" s="10"/>
      <c r="F306" s="20"/>
      <c r="G306" s="20"/>
      <c r="H306" s="20"/>
      <c r="I306" s="20"/>
      <c r="J306" s="20"/>
      <c r="K306" s="20"/>
      <c r="L306" s="10"/>
    </row>
    <row r="307" spans="1:32" ht="32" x14ac:dyDescent="0.45">
      <c r="B307" s="668" t="s">
        <v>132</v>
      </c>
      <c r="C307" s="668" t="s">
        <v>43</v>
      </c>
      <c r="D307" s="668" t="s">
        <v>44</v>
      </c>
      <c r="E307" s="668" t="s">
        <v>45</v>
      </c>
      <c r="F307" s="668" t="s">
        <v>46</v>
      </c>
      <c r="G307" s="668" t="s">
        <v>47</v>
      </c>
      <c r="H307" s="668" t="s">
        <v>48</v>
      </c>
      <c r="I307" s="668" t="s">
        <v>49</v>
      </c>
      <c r="J307" s="668" t="s">
        <v>50</v>
      </c>
      <c r="K307" s="10"/>
      <c r="L307" s="10"/>
      <c r="M307" s="10"/>
      <c r="N307" s="10"/>
    </row>
    <row r="308" spans="1:32" ht="17.5" x14ac:dyDescent="0.45">
      <c r="B308" s="85" t="s">
        <v>133</v>
      </c>
      <c r="C308" s="744">
        <v>0.28999999999999998</v>
      </c>
      <c r="D308" s="578">
        <v>0.33472484774602418</v>
      </c>
      <c r="E308" s="374">
        <v>0.44</v>
      </c>
      <c r="F308" s="464" t="s">
        <v>134</v>
      </c>
      <c r="G308" s="464">
        <v>0.438</v>
      </c>
      <c r="H308" s="91">
        <v>0.44600000000000001</v>
      </c>
      <c r="I308" s="91">
        <v>0.41</v>
      </c>
      <c r="J308" s="91">
        <v>0.39572022412250457</v>
      </c>
      <c r="K308" s="10"/>
      <c r="L308" s="10"/>
      <c r="M308" s="10"/>
      <c r="N308" s="10"/>
    </row>
    <row r="309" spans="1:32" ht="17.5" x14ac:dyDescent="0.45">
      <c r="B309" s="85" t="s">
        <v>135</v>
      </c>
      <c r="C309" s="744">
        <v>0.2</v>
      </c>
      <c r="D309" s="578">
        <v>0.21926998463177463</v>
      </c>
      <c r="E309" s="374">
        <v>0.21</v>
      </c>
      <c r="F309" s="464" t="s">
        <v>134</v>
      </c>
      <c r="G309" s="464">
        <v>0.34699999999999998</v>
      </c>
      <c r="H309" s="91">
        <v>0.32600000000000001</v>
      </c>
      <c r="I309" s="91">
        <v>0.36</v>
      </c>
      <c r="J309" s="91">
        <v>0.36420060670157511</v>
      </c>
      <c r="K309" s="10"/>
      <c r="L309" s="10"/>
      <c r="M309" s="10"/>
      <c r="N309" s="10"/>
    </row>
    <row r="310" spans="1:32" ht="17.5" x14ac:dyDescent="0.45">
      <c r="B310" s="85" t="s">
        <v>136</v>
      </c>
      <c r="C310" s="744">
        <v>0.23</v>
      </c>
      <c r="D310" s="578">
        <v>0.17454403136362037</v>
      </c>
      <c r="E310" s="374">
        <v>0.14000000000000001</v>
      </c>
      <c r="F310" s="464" t="s">
        <v>134</v>
      </c>
      <c r="G310" s="464">
        <v>9.9000000000000005E-2</v>
      </c>
      <c r="H310" s="91">
        <v>0.11600000000000001</v>
      </c>
      <c r="I310" s="91">
        <v>0.09</v>
      </c>
      <c r="J310" s="91">
        <v>0.11107228927280925</v>
      </c>
      <c r="K310" s="10"/>
      <c r="L310" s="20"/>
      <c r="M310" s="20"/>
      <c r="N310" s="10"/>
    </row>
    <row r="311" spans="1:32" ht="17.5" x14ac:dyDescent="0.45">
      <c r="B311" s="85" t="s">
        <v>137</v>
      </c>
      <c r="C311" s="744">
        <v>0.23</v>
      </c>
      <c r="D311" s="578">
        <v>0.21456833306667233</v>
      </c>
      <c r="E311" s="374">
        <v>0.15</v>
      </c>
      <c r="F311" s="464" t="s">
        <v>134</v>
      </c>
      <c r="G311" s="464">
        <v>8.4000000000000005E-2</v>
      </c>
      <c r="H311" s="91">
        <v>8.3000000000000004E-2</v>
      </c>
      <c r="I311" s="91">
        <v>0.12</v>
      </c>
      <c r="J311" s="91">
        <v>0.10524532892914693</v>
      </c>
      <c r="K311" s="10"/>
      <c r="L311" s="20"/>
      <c r="M311" s="20"/>
      <c r="N311" s="10"/>
    </row>
    <row r="312" spans="1:32" ht="17.5" x14ac:dyDescent="0.45">
      <c r="B312" s="85" t="s">
        <v>138</v>
      </c>
      <c r="C312" s="744">
        <v>0.05</v>
      </c>
      <c r="D312" s="578">
        <v>5.6096043362297461E-2</v>
      </c>
      <c r="E312" s="374">
        <v>0.06</v>
      </c>
      <c r="F312" s="464" t="s">
        <v>134</v>
      </c>
      <c r="G312" s="464">
        <v>3.1E-2</v>
      </c>
      <c r="H312" s="91">
        <v>2.9000000000000001E-2</v>
      </c>
      <c r="I312" s="91">
        <v>0.02</v>
      </c>
      <c r="J312" s="91">
        <v>2.3000933633586202E-2</v>
      </c>
      <c r="K312" s="10"/>
      <c r="L312" s="11"/>
      <c r="M312" s="11"/>
      <c r="N312" s="57"/>
      <c r="O312" s="6"/>
    </row>
    <row r="313" spans="1:32" ht="17.5" x14ac:dyDescent="0.45">
      <c r="B313" s="86" t="s">
        <v>139</v>
      </c>
      <c r="C313" s="465">
        <v>0</v>
      </c>
      <c r="D313" s="579">
        <v>7.9675982961108151E-4</v>
      </c>
      <c r="E313" s="375">
        <v>0</v>
      </c>
      <c r="F313" s="465" t="s">
        <v>134</v>
      </c>
      <c r="G313" s="465">
        <v>0</v>
      </c>
      <c r="H313" s="92">
        <v>3.0000000000000001E-3</v>
      </c>
      <c r="I313" s="92">
        <v>0</v>
      </c>
      <c r="J313" s="92">
        <v>0</v>
      </c>
      <c r="K313" s="10"/>
      <c r="L313" s="10"/>
      <c r="M313" s="10"/>
      <c r="N313" s="57"/>
      <c r="O313" s="6"/>
    </row>
    <row r="314" spans="1:32" ht="17.5" x14ac:dyDescent="0.45">
      <c r="B314" s="19"/>
      <c r="C314" s="19"/>
      <c r="D314" s="20"/>
      <c r="E314" s="20"/>
      <c r="F314" s="20"/>
      <c r="G314" s="20"/>
      <c r="H314" s="20"/>
      <c r="I314" s="20"/>
      <c r="J314" s="10"/>
      <c r="K314" s="10"/>
      <c r="L314" s="10"/>
    </row>
    <row r="315" spans="1:32" ht="17.5" x14ac:dyDescent="0.45">
      <c r="A315" s="777" t="s">
        <v>140</v>
      </c>
      <c r="B315" s="914" t="s">
        <v>18</v>
      </c>
      <c r="C315" s="914"/>
      <c r="D315" s="778" t="s">
        <v>140</v>
      </c>
      <c r="E315" s="778" t="s">
        <v>140</v>
      </c>
      <c r="F315" s="778" t="s">
        <v>140</v>
      </c>
      <c r="G315" s="778" t="s">
        <v>140</v>
      </c>
      <c r="H315" s="778" t="s">
        <v>140</v>
      </c>
      <c r="I315" s="778" t="s">
        <v>140</v>
      </c>
      <c r="J315" s="778" t="s">
        <v>140</v>
      </c>
      <c r="K315" s="778" t="s">
        <v>140</v>
      </c>
      <c r="L315" s="778" t="s">
        <v>140</v>
      </c>
      <c r="M315" s="778" t="s">
        <v>140</v>
      </c>
      <c r="N315" s="778" t="s">
        <v>140</v>
      </c>
      <c r="O315" s="778" t="s">
        <v>140</v>
      </c>
      <c r="P315" s="778" t="s">
        <v>140</v>
      </c>
      <c r="Q315" s="778" t="s">
        <v>140</v>
      </c>
      <c r="R315" s="778" t="s">
        <v>140</v>
      </c>
      <c r="S315" s="778" t="s">
        <v>140</v>
      </c>
      <c r="T315" s="778" t="s">
        <v>140</v>
      </c>
      <c r="U315" s="778" t="s">
        <v>140</v>
      </c>
      <c r="V315" s="778" t="s">
        <v>140</v>
      </c>
      <c r="W315" s="778" t="s">
        <v>140</v>
      </c>
      <c r="X315" s="778" t="s">
        <v>140</v>
      </c>
      <c r="Y315" s="778" t="s">
        <v>140</v>
      </c>
      <c r="Z315" s="778" t="s">
        <v>140</v>
      </c>
      <c r="AA315" s="778" t="s">
        <v>140</v>
      </c>
      <c r="AB315" s="778" t="s">
        <v>140</v>
      </c>
      <c r="AC315" s="778" t="s">
        <v>140</v>
      </c>
      <c r="AD315" s="778" t="s">
        <v>140</v>
      </c>
      <c r="AE315" s="778" t="s">
        <v>140</v>
      </c>
      <c r="AF315" s="778" t="s">
        <v>140</v>
      </c>
    </row>
    <row r="316" spans="1:32" ht="8.25" customHeight="1" thickBot="1" x14ac:dyDescent="0.5">
      <c r="B316" s="19"/>
      <c r="C316" s="19"/>
      <c r="D316" s="20"/>
      <c r="E316" s="20"/>
      <c r="F316" s="20"/>
      <c r="G316" s="20"/>
      <c r="H316" s="20"/>
      <c r="I316" s="20"/>
      <c r="J316" s="10"/>
      <c r="K316" s="10"/>
      <c r="L316" s="10"/>
    </row>
    <row r="317" spans="1:32" ht="17.5" x14ac:dyDescent="0.45">
      <c r="B317" s="668" t="s">
        <v>141</v>
      </c>
      <c r="C317" s="896" t="s">
        <v>489</v>
      </c>
      <c r="D317" s="668" t="s">
        <v>44</v>
      </c>
      <c r="E317" s="10"/>
      <c r="F317" s="10"/>
      <c r="G317" s="10"/>
    </row>
    <row r="318" spans="1:32" ht="17.5" x14ac:dyDescent="0.45">
      <c r="B318" s="85" t="s">
        <v>490</v>
      </c>
      <c r="C318" s="891">
        <v>97374</v>
      </c>
      <c r="D318" s="891">
        <v>107572</v>
      </c>
      <c r="E318" s="10"/>
      <c r="F318" s="894"/>
      <c r="G318" s="10"/>
    </row>
    <row r="319" spans="1:32" ht="17.5" x14ac:dyDescent="0.45">
      <c r="B319" s="85" t="s">
        <v>480</v>
      </c>
      <c r="C319" s="891">
        <v>379702</v>
      </c>
      <c r="D319" s="891">
        <v>362618</v>
      </c>
      <c r="E319" s="10"/>
      <c r="F319" s="894"/>
      <c r="G319" s="10"/>
    </row>
    <row r="320" spans="1:32" ht="17.5" x14ac:dyDescent="0.45">
      <c r="B320" s="85" t="s">
        <v>481</v>
      </c>
      <c r="C320" s="891">
        <v>5425</v>
      </c>
      <c r="D320" s="891">
        <v>4863</v>
      </c>
      <c r="E320" s="10"/>
      <c r="F320" s="10"/>
      <c r="G320" s="10"/>
    </row>
    <row r="321" spans="1:13" ht="17.5" x14ac:dyDescent="0.45">
      <c r="B321" s="85" t="s">
        <v>482</v>
      </c>
      <c r="C321" s="891">
        <v>23836</v>
      </c>
      <c r="D321" s="891">
        <v>21915</v>
      </c>
      <c r="E321" s="10"/>
      <c r="F321" s="10"/>
      <c r="G321" s="10"/>
    </row>
    <row r="322" spans="1:13" ht="17.5" x14ac:dyDescent="0.45">
      <c r="B322" s="85" t="s">
        <v>483</v>
      </c>
      <c r="C322" s="891">
        <v>41451</v>
      </c>
      <c r="D322" s="891">
        <v>43053</v>
      </c>
      <c r="E322" s="10"/>
      <c r="F322" s="10"/>
      <c r="G322" s="10"/>
    </row>
    <row r="323" spans="1:13" ht="17.5" x14ac:dyDescent="0.45">
      <c r="B323" s="85" t="s">
        <v>484</v>
      </c>
      <c r="C323" s="891">
        <v>492</v>
      </c>
      <c r="D323" s="891">
        <v>9158</v>
      </c>
      <c r="E323" s="10"/>
      <c r="F323" s="10"/>
      <c r="G323" s="10"/>
    </row>
    <row r="324" spans="1:13" ht="17.5" x14ac:dyDescent="0.45">
      <c r="B324" s="85" t="s">
        <v>485</v>
      </c>
      <c r="C324" s="891">
        <v>2014</v>
      </c>
      <c r="D324" s="891">
        <v>2014</v>
      </c>
      <c r="E324" s="10"/>
      <c r="F324" s="10"/>
      <c r="G324" s="10"/>
    </row>
    <row r="325" spans="1:13" ht="17.5" x14ac:dyDescent="0.45">
      <c r="B325" s="85" t="s">
        <v>486</v>
      </c>
      <c r="C325" s="891">
        <v>863344</v>
      </c>
      <c r="D325" s="891">
        <v>929150</v>
      </c>
      <c r="E325" s="10"/>
      <c r="F325" s="10"/>
      <c r="G325" s="10"/>
    </row>
    <row r="326" spans="1:13" ht="17.5" x14ac:dyDescent="0.45">
      <c r="B326" s="85" t="s">
        <v>487</v>
      </c>
      <c r="C326" s="891">
        <v>151190</v>
      </c>
      <c r="D326" s="891">
        <v>149516</v>
      </c>
      <c r="E326" s="10"/>
      <c r="F326" s="10"/>
      <c r="G326" s="10"/>
    </row>
    <row r="327" spans="1:13" ht="18" thickBot="1" x14ac:dyDescent="0.5">
      <c r="B327" s="892" t="s">
        <v>54</v>
      </c>
      <c r="C327" s="893">
        <f>SUM(C318:C326)</f>
        <v>1564828</v>
      </c>
      <c r="D327" s="893">
        <f>SUM(D318:D326)</f>
        <v>1629859</v>
      </c>
      <c r="E327" s="897"/>
      <c r="F327" s="10"/>
      <c r="G327" s="10"/>
    </row>
    <row r="328" spans="1:13" ht="17.5" x14ac:dyDescent="0.45">
      <c r="A328" s="164"/>
      <c r="B328" s="895" t="s">
        <v>488</v>
      </c>
      <c r="C328" s="20"/>
      <c r="D328" s="20"/>
      <c r="E328" s="10"/>
      <c r="F328" s="10"/>
      <c r="G328" s="10"/>
    </row>
    <row r="329" spans="1:13" ht="17.5" x14ac:dyDescent="0.45">
      <c r="A329" s="164"/>
      <c r="B329" s="19"/>
      <c r="C329" s="19"/>
      <c r="D329" s="20"/>
      <c r="E329" s="20"/>
      <c r="F329" s="20"/>
      <c r="G329" s="20"/>
      <c r="H329" s="20"/>
      <c r="I329" s="20"/>
      <c r="J329" s="10"/>
      <c r="K329" s="10"/>
      <c r="L329" s="10"/>
    </row>
    <row r="330" spans="1:13" s="601" customFormat="1" ht="17.5" x14ac:dyDescent="0.45">
      <c r="B330" s="657" t="s">
        <v>20</v>
      </c>
      <c r="C330" s="657"/>
      <c r="D330" s="604"/>
      <c r="E330" s="604"/>
      <c r="F330" s="604"/>
      <c r="G330" s="604"/>
      <c r="H330" s="604"/>
      <c r="I330" s="604"/>
      <c r="J330" s="604"/>
      <c r="K330" s="604"/>
      <c r="L330" s="604"/>
      <c r="M330" s="604"/>
    </row>
    <row r="331" spans="1:13" ht="6" customHeight="1" x14ac:dyDescent="0.45">
      <c r="B331" s="19"/>
      <c r="C331" s="19"/>
      <c r="D331" s="20"/>
      <c r="E331" s="10"/>
      <c r="F331" s="20"/>
      <c r="G331" s="20"/>
      <c r="H331" s="20"/>
      <c r="I331" s="20"/>
      <c r="J331" s="20"/>
      <c r="K331" s="20"/>
      <c r="L331" s="10"/>
    </row>
    <row r="332" spans="1:13" ht="17.5" x14ac:dyDescent="0.35">
      <c r="B332" s="910" t="s">
        <v>56</v>
      </c>
      <c r="C332" s="910" t="s">
        <v>132</v>
      </c>
      <c r="D332" s="900" t="s">
        <v>142</v>
      </c>
      <c r="E332" s="900"/>
      <c r="F332" s="905"/>
      <c r="G332" s="905"/>
      <c r="H332" s="905"/>
      <c r="I332" s="905"/>
      <c r="J332" s="11"/>
      <c r="K332" s="55"/>
      <c r="L332" s="57"/>
      <c r="M332" s="6"/>
    </row>
    <row r="333" spans="1:13" ht="18" thickBot="1" x14ac:dyDescent="0.5">
      <c r="B333" s="911"/>
      <c r="C333" s="911"/>
      <c r="D333" s="877" t="s">
        <v>125</v>
      </c>
      <c r="E333" s="820" t="s">
        <v>143</v>
      </c>
      <c r="F333" s="56"/>
      <c r="G333" s="368"/>
      <c r="H333" s="56"/>
      <c r="I333" s="56"/>
      <c r="J333" s="10"/>
      <c r="K333" s="55"/>
      <c r="L333" s="57"/>
      <c r="M333" s="6"/>
    </row>
    <row r="334" spans="1:13" ht="17.5" x14ac:dyDescent="0.45">
      <c r="B334" s="93" t="s">
        <v>43</v>
      </c>
      <c r="C334" s="33" t="s">
        <v>80</v>
      </c>
      <c r="D334" s="94">
        <f>SUM(D335:D338)</f>
        <v>1014.534099789709</v>
      </c>
      <c r="E334" s="94">
        <f>SUM(E335:E338)</f>
        <v>10216.358384882371</v>
      </c>
      <c r="F334" s="56"/>
      <c r="G334" s="368"/>
      <c r="H334" s="56"/>
      <c r="I334" s="56"/>
      <c r="J334" s="10"/>
      <c r="K334" s="55"/>
      <c r="L334" s="57"/>
      <c r="M334" s="6"/>
    </row>
    <row r="335" spans="1:13" ht="32" x14ac:dyDescent="0.45">
      <c r="B335" s="76"/>
      <c r="C335" s="22" t="s">
        <v>144</v>
      </c>
      <c r="D335" s="344">
        <v>146.06399999999999</v>
      </c>
      <c r="E335" s="291">
        <f>D335*10.07</f>
        <v>1470.86448</v>
      </c>
      <c r="F335" s="56"/>
      <c r="G335" s="368"/>
      <c r="H335" s="56"/>
      <c r="I335" s="56"/>
      <c r="J335" s="10"/>
      <c r="K335" s="55"/>
      <c r="L335" s="57"/>
      <c r="M335" s="6"/>
    </row>
    <row r="336" spans="1:13" ht="32" x14ac:dyDescent="0.45">
      <c r="B336" s="76"/>
      <c r="C336" s="22" t="s">
        <v>145</v>
      </c>
      <c r="D336" s="344">
        <v>863.34409978970905</v>
      </c>
      <c r="E336" s="291">
        <f t="shared" ref="E336:E338" si="39">D336*10.07</f>
        <v>8693.8750848823711</v>
      </c>
      <c r="F336" s="780"/>
      <c r="G336" s="368"/>
      <c r="H336" s="56"/>
      <c r="I336" s="56"/>
      <c r="J336" s="10"/>
      <c r="K336" s="55"/>
      <c r="L336" s="57"/>
      <c r="M336" s="6"/>
    </row>
    <row r="337" spans="2:14" ht="32" x14ac:dyDescent="0.45">
      <c r="B337" s="76"/>
      <c r="C337" s="22" t="s">
        <v>146</v>
      </c>
      <c r="D337" s="344">
        <v>5.1260000000000003</v>
      </c>
      <c r="E337" s="344">
        <f t="shared" si="39"/>
        <v>51.618820000000007</v>
      </c>
      <c r="F337" s="56"/>
      <c r="G337" s="368"/>
      <c r="H337" s="56"/>
      <c r="I337" s="56"/>
      <c r="J337" s="10"/>
      <c r="K337" s="55"/>
      <c r="L337" s="57"/>
      <c r="M337" s="6"/>
    </row>
    <row r="338" spans="2:14" ht="17.5" x14ac:dyDescent="0.45">
      <c r="B338" s="96"/>
      <c r="C338" s="36" t="s">
        <v>147</v>
      </c>
      <c r="D338" s="790">
        <v>0</v>
      </c>
      <c r="E338" s="344">
        <f t="shared" si="39"/>
        <v>0</v>
      </c>
      <c r="F338" s="56"/>
      <c r="G338" s="368"/>
      <c r="H338" s="56"/>
      <c r="I338" s="56"/>
      <c r="J338" s="10"/>
      <c r="K338" s="55"/>
      <c r="L338" s="57"/>
      <c r="M338" s="6"/>
    </row>
    <row r="339" spans="2:14" ht="17.5" x14ac:dyDescent="0.45">
      <c r="B339" s="560" t="s">
        <v>148</v>
      </c>
      <c r="C339" s="561" t="s">
        <v>80</v>
      </c>
      <c r="D339" s="580">
        <f>SUM(D340:D343)</f>
        <v>1078.659678589943</v>
      </c>
      <c r="E339" s="580">
        <f>SUM(E340:E343)</f>
        <v>10862.102963400726</v>
      </c>
      <c r="F339" s="56"/>
      <c r="G339" s="368"/>
      <c r="H339" s="56"/>
      <c r="I339" s="56"/>
      <c r="J339" s="10"/>
      <c r="K339" s="55"/>
      <c r="L339" s="57"/>
      <c r="M339" s="6"/>
    </row>
    <row r="340" spans="2:14" ht="32" x14ac:dyDescent="0.45">
      <c r="B340" s="562"/>
      <c r="C340" s="864" t="s">
        <v>149</v>
      </c>
      <c r="D340" s="581">
        <v>144.31</v>
      </c>
      <c r="E340" s="582">
        <f t="shared" ref="E340:E343" si="40">D340*10.07</f>
        <v>1453.2017000000001</v>
      </c>
      <c r="F340" s="56"/>
      <c r="G340" s="368"/>
      <c r="H340" s="56"/>
      <c r="I340" s="56"/>
      <c r="J340" s="10"/>
      <c r="K340" s="55"/>
      <c r="L340" s="57"/>
      <c r="M340" s="6"/>
    </row>
    <row r="341" spans="2:14" ht="32" x14ac:dyDescent="0.45">
      <c r="B341" s="562"/>
      <c r="C341" s="22" t="s">
        <v>145</v>
      </c>
      <c r="D341" s="583">
        <v>929.14967858994305</v>
      </c>
      <c r="E341" s="582">
        <f t="shared" si="40"/>
        <v>9356.5372634007272</v>
      </c>
      <c r="F341" s="56"/>
      <c r="G341" s="368"/>
      <c r="H341" s="56"/>
      <c r="I341" s="56"/>
      <c r="J341" s="10"/>
      <c r="K341" s="55"/>
      <c r="L341" s="57"/>
      <c r="M341" s="6"/>
    </row>
    <row r="342" spans="2:14" ht="32" x14ac:dyDescent="0.45">
      <c r="B342" s="562"/>
      <c r="C342" s="864" t="s">
        <v>150</v>
      </c>
      <c r="D342" s="581">
        <v>5.2</v>
      </c>
      <c r="E342" s="581">
        <f t="shared" si="40"/>
        <v>52.364000000000004</v>
      </c>
      <c r="F342" s="56"/>
      <c r="G342" s="368"/>
      <c r="H342" s="56"/>
      <c r="I342" s="56"/>
      <c r="J342" s="10"/>
      <c r="K342" s="55"/>
      <c r="L342" s="57"/>
      <c r="M342" s="6"/>
    </row>
    <row r="343" spans="2:14" ht="18" thickBot="1" x14ac:dyDescent="0.5">
      <c r="B343" s="563"/>
      <c r="C343" s="555" t="s">
        <v>147</v>
      </c>
      <c r="D343" s="584">
        <v>0</v>
      </c>
      <c r="E343" s="584">
        <f t="shared" si="40"/>
        <v>0</v>
      </c>
      <c r="F343" s="56"/>
      <c r="G343" s="368"/>
      <c r="H343" s="56"/>
      <c r="I343" s="56"/>
      <c r="J343" s="10"/>
      <c r="K343" s="55"/>
      <c r="L343" s="57"/>
      <c r="M343" s="6"/>
    </row>
    <row r="344" spans="2:14" ht="17.5" x14ac:dyDescent="0.45">
      <c r="B344" s="560" t="s">
        <v>44</v>
      </c>
      <c r="C344" s="561" t="s">
        <v>80</v>
      </c>
      <c r="D344" s="580">
        <f>SUM(D345:D348)</f>
        <v>1115.5803320852635</v>
      </c>
      <c r="E344" s="580">
        <f>SUM(E345:E348)</f>
        <v>11233.8939440986</v>
      </c>
      <c r="F344" s="56"/>
      <c r="G344" s="368"/>
      <c r="H344" s="56"/>
      <c r="I344" s="56"/>
      <c r="J344" s="10"/>
      <c r="K344" s="55"/>
      <c r="L344" s="57"/>
      <c r="M344" s="6"/>
    </row>
    <row r="345" spans="2:14" ht="32" x14ac:dyDescent="0.45">
      <c r="B345" s="562"/>
      <c r="C345" s="865" t="s">
        <v>151</v>
      </c>
      <c r="D345" s="581">
        <v>268.47582566442998</v>
      </c>
      <c r="E345" s="582">
        <v>2703.5515644408056</v>
      </c>
      <c r="F345" s="56"/>
      <c r="G345" s="368"/>
      <c r="H345" s="56"/>
      <c r="I345" s="56"/>
      <c r="J345" s="10"/>
      <c r="K345" s="55"/>
      <c r="L345" s="57"/>
      <c r="M345" s="6"/>
    </row>
    <row r="346" spans="2:14" ht="32" x14ac:dyDescent="0.45">
      <c r="B346" s="562"/>
      <c r="C346" s="22" t="s">
        <v>145</v>
      </c>
      <c r="D346" s="583">
        <v>841.87643545115804</v>
      </c>
      <c r="E346" s="582">
        <f>D346*10.07</f>
        <v>8477.6957049931625</v>
      </c>
      <c r="F346" s="56"/>
      <c r="G346" s="368"/>
      <c r="H346" s="56"/>
      <c r="I346" s="56"/>
      <c r="J346" s="10"/>
      <c r="K346" s="55"/>
      <c r="L346" s="57"/>
      <c r="M346" s="6"/>
    </row>
    <row r="347" spans="2:14" ht="32" x14ac:dyDescent="0.45">
      <c r="B347" s="562"/>
      <c r="C347" s="551" t="s">
        <v>146</v>
      </c>
      <c r="D347" s="581">
        <v>5.2280709696754304</v>
      </c>
      <c r="E347" s="581">
        <v>52.646674664631576</v>
      </c>
      <c r="F347" s="56"/>
      <c r="G347" s="368"/>
      <c r="H347" s="56"/>
      <c r="I347" s="56"/>
      <c r="J347" s="10"/>
      <c r="K347" s="55"/>
      <c r="L347" s="57"/>
      <c r="M347" s="6"/>
    </row>
    <row r="348" spans="2:14" ht="18" thickBot="1" x14ac:dyDescent="0.5">
      <c r="B348" s="563"/>
      <c r="C348" s="555" t="s">
        <v>147</v>
      </c>
      <c r="D348" s="584">
        <v>0</v>
      </c>
      <c r="E348" s="584">
        <v>0</v>
      </c>
      <c r="F348" s="56"/>
      <c r="G348" s="368"/>
      <c r="H348" s="56"/>
      <c r="I348" s="56"/>
      <c r="J348" s="10"/>
      <c r="K348" s="55"/>
      <c r="L348" s="57"/>
      <c r="M348" s="6"/>
    </row>
    <row r="349" spans="2:14" ht="17.5" x14ac:dyDescent="0.45">
      <c r="B349" s="93" t="s">
        <v>61</v>
      </c>
      <c r="C349" s="33" t="s">
        <v>80</v>
      </c>
      <c r="D349" s="94">
        <f>SUM(D350:D353)</f>
        <v>974.46399999999994</v>
      </c>
      <c r="E349" s="94">
        <f>SUM(E350:E353)</f>
        <v>9812.85</v>
      </c>
      <c r="F349" s="56"/>
      <c r="G349" s="10"/>
      <c r="H349" s="20"/>
      <c r="I349" s="20"/>
      <c r="J349" s="10"/>
      <c r="K349" s="55"/>
      <c r="L349" s="10"/>
    </row>
    <row r="350" spans="2:14" ht="32" x14ac:dyDescent="0.45">
      <c r="B350" s="76" t="s">
        <v>62</v>
      </c>
      <c r="C350" s="865" t="s">
        <v>151</v>
      </c>
      <c r="D350" s="369">
        <v>242.05</v>
      </c>
      <c r="E350" s="369">
        <v>2437.44</v>
      </c>
      <c r="F350" s="56"/>
      <c r="G350" s="10"/>
      <c r="I350" s="20"/>
      <c r="J350" s="10"/>
      <c r="K350" s="55"/>
      <c r="L350" s="10"/>
    </row>
    <row r="351" spans="2:14" ht="32" x14ac:dyDescent="0.45">
      <c r="B351" s="76"/>
      <c r="C351" s="22" t="s">
        <v>145</v>
      </c>
      <c r="D351" s="369">
        <v>732.41399999999999</v>
      </c>
      <c r="E351" s="369">
        <v>7375.41</v>
      </c>
      <c r="F351" s="10"/>
      <c r="G351" s="10"/>
      <c r="I351" s="20"/>
      <c r="J351" s="57"/>
      <c r="K351" s="57"/>
      <c r="L351" s="10"/>
      <c r="N351" s="6"/>
    </row>
    <row r="352" spans="2:14" ht="32" x14ac:dyDescent="0.45">
      <c r="B352" s="76"/>
      <c r="C352" s="22" t="s">
        <v>146</v>
      </c>
      <c r="D352" s="369">
        <v>0</v>
      </c>
      <c r="E352" s="369">
        <v>0</v>
      </c>
      <c r="F352" s="10"/>
      <c r="G352" s="10"/>
      <c r="H352" s="20"/>
      <c r="I352" s="20"/>
      <c r="J352" s="57"/>
      <c r="K352" s="57"/>
      <c r="L352" s="57"/>
      <c r="M352" s="6"/>
      <c r="N352" s="6"/>
    </row>
    <row r="353" spans="2:14" ht="17.5" x14ac:dyDescent="0.45">
      <c r="B353" s="96"/>
      <c r="C353" s="36" t="s">
        <v>147</v>
      </c>
      <c r="D353" s="371">
        <v>0</v>
      </c>
      <c r="E353" s="372">
        <v>0</v>
      </c>
      <c r="F353" s="10"/>
      <c r="G353" s="28"/>
      <c r="H353" s="28"/>
      <c r="I353" s="20"/>
      <c r="J353" s="55"/>
      <c r="K353" s="10"/>
      <c r="L353" s="57"/>
      <c r="M353" s="6"/>
    </row>
    <row r="354" spans="2:14" ht="17.5" x14ac:dyDescent="0.45">
      <c r="B354" s="93" t="s">
        <v>61</v>
      </c>
      <c r="C354" s="33" t="s">
        <v>80</v>
      </c>
      <c r="D354" s="373">
        <f>SUM(D355:D358)</f>
        <v>1008.5899999999999</v>
      </c>
      <c r="E354" s="373">
        <f>SUM(E355:E358)</f>
        <v>10156.49</v>
      </c>
      <c r="F354" s="56"/>
      <c r="G354" s="10"/>
      <c r="H354" s="20"/>
      <c r="I354" s="20"/>
      <c r="J354" s="10"/>
      <c r="K354" s="55"/>
      <c r="L354" s="10"/>
    </row>
    <row r="355" spans="2:14" ht="32" x14ac:dyDescent="0.45">
      <c r="B355" s="76" t="s">
        <v>63</v>
      </c>
      <c r="C355" s="865" t="s">
        <v>151</v>
      </c>
      <c r="D355" s="369">
        <v>242.05</v>
      </c>
      <c r="E355" s="369">
        <v>2437.44</v>
      </c>
      <c r="F355" s="56"/>
      <c r="G355" s="10"/>
      <c r="I355" s="20"/>
      <c r="J355" s="10"/>
      <c r="K355" s="55"/>
      <c r="L355" s="10"/>
    </row>
    <row r="356" spans="2:14" ht="32" x14ac:dyDescent="0.45">
      <c r="B356" s="76"/>
      <c r="C356" s="22" t="s">
        <v>145</v>
      </c>
      <c r="D356" s="370">
        <v>732.41399999999999</v>
      </c>
      <c r="E356" s="369">
        <v>7375.41</v>
      </c>
      <c r="F356" s="10"/>
      <c r="G356" s="10"/>
      <c r="I356" s="20"/>
      <c r="J356" s="57"/>
      <c r="K356" s="57"/>
      <c r="L356" s="10"/>
      <c r="N356" s="6"/>
    </row>
    <row r="357" spans="2:14" ht="32" x14ac:dyDescent="0.45">
      <c r="B357" s="76"/>
      <c r="C357" s="22" t="s">
        <v>146</v>
      </c>
      <c r="D357" s="369">
        <v>34.125999999999998</v>
      </c>
      <c r="E357" s="369">
        <v>343.64</v>
      </c>
      <c r="F357" s="10"/>
      <c r="G357" s="10"/>
      <c r="H357" s="20"/>
      <c r="I357" s="20"/>
      <c r="J357" s="57"/>
      <c r="K357" s="57"/>
      <c r="L357" s="57"/>
      <c r="M357" s="6"/>
      <c r="N357" s="6"/>
    </row>
    <row r="358" spans="2:14" ht="18" thickBot="1" x14ac:dyDescent="0.5">
      <c r="B358" s="96"/>
      <c r="C358" s="36" t="s">
        <v>147</v>
      </c>
      <c r="D358" s="371">
        <v>0</v>
      </c>
      <c r="E358" s="372">
        <v>0</v>
      </c>
      <c r="F358" s="10"/>
      <c r="G358" s="28"/>
      <c r="H358" s="28"/>
      <c r="I358" s="20"/>
      <c r="J358" s="55"/>
      <c r="K358" s="10"/>
      <c r="L358" s="57"/>
      <c r="M358" s="6"/>
    </row>
    <row r="359" spans="2:14" ht="17.5" x14ac:dyDescent="0.45">
      <c r="B359" s="93" t="s">
        <v>47</v>
      </c>
      <c r="C359" s="33" t="s">
        <v>80</v>
      </c>
      <c r="D359" s="437">
        <f>SUM(D360:D363)</f>
        <v>706.23299999999995</v>
      </c>
      <c r="E359" s="438">
        <f>E360+E361</f>
        <v>7111.768</v>
      </c>
      <c r="F359" s="10"/>
      <c r="G359" s="28"/>
      <c r="H359" s="28"/>
      <c r="I359" s="20"/>
      <c r="J359" s="55"/>
      <c r="K359" s="10"/>
      <c r="L359" s="57"/>
      <c r="M359" s="6"/>
    </row>
    <row r="360" spans="2:14" ht="32" x14ac:dyDescent="0.45">
      <c r="B360" s="76"/>
      <c r="C360" s="865" t="s">
        <v>151</v>
      </c>
      <c r="D360" s="435">
        <f>D365</f>
        <v>153.22300000000001</v>
      </c>
      <c r="E360" s="436">
        <f>E365</f>
        <v>1542.96</v>
      </c>
      <c r="F360" s="10"/>
      <c r="G360" s="28"/>
      <c r="H360" s="28"/>
      <c r="I360" s="20"/>
      <c r="J360" s="55"/>
      <c r="K360" s="10"/>
      <c r="L360" s="57"/>
      <c r="M360" s="6"/>
    </row>
    <row r="361" spans="2:14" ht="32" x14ac:dyDescent="0.45">
      <c r="B361" s="76"/>
      <c r="C361" s="22" t="s">
        <v>145</v>
      </c>
      <c r="D361" s="435">
        <f>D366</f>
        <v>553.01</v>
      </c>
      <c r="E361" s="436">
        <f>E366</f>
        <v>5568.808</v>
      </c>
      <c r="F361" s="10"/>
      <c r="G361" s="28"/>
      <c r="H361" s="28"/>
      <c r="I361" s="20"/>
      <c r="J361" s="55"/>
      <c r="K361" s="10"/>
      <c r="L361" s="57"/>
      <c r="M361" s="6"/>
    </row>
    <row r="362" spans="2:14" ht="32" x14ac:dyDescent="0.45">
      <c r="B362" s="76"/>
      <c r="C362" s="22" t="s">
        <v>146</v>
      </c>
      <c r="D362" s="435">
        <v>0</v>
      </c>
      <c r="E362" s="436">
        <v>0</v>
      </c>
      <c r="F362" s="10"/>
      <c r="G362" s="28"/>
      <c r="H362" s="28"/>
      <c r="I362" s="20"/>
      <c r="J362" s="55"/>
      <c r="K362" s="10"/>
      <c r="L362" s="57"/>
      <c r="M362" s="6"/>
    </row>
    <row r="363" spans="2:14" ht="18" thickBot="1" x14ac:dyDescent="0.5">
      <c r="B363" s="96"/>
      <c r="C363" s="36" t="s">
        <v>147</v>
      </c>
      <c r="D363" s="435">
        <v>0</v>
      </c>
      <c r="E363" s="436">
        <v>0</v>
      </c>
      <c r="F363" s="10"/>
      <c r="G363" s="28"/>
      <c r="H363" s="28"/>
      <c r="I363" s="20"/>
      <c r="J363" s="55"/>
      <c r="K363" s="10"/>
      <c r="L363" s="57"/>
      <c r="M363" s="6"/>
    </row>
    <row r="364" spans="2:14" ht="17.5" x14ac:dyDescent="0.45">
      <c r="B364" s="93" t="s">
        <v>48</v>
      </c>
      <c r="C364" s="33" t="s">
        <v>80</v>
      </c>
      <c r="D364" s="94">
        <f>SUM(D365:D368)</f>
        <v>1072.289</v>
      </c>
      <c r="E364" s="94">
        <f>SUM(E365:E368)</f>
        <v>10797.942999999999</v>
      </c>
      <c r="F364" s="56"/>
      <c r="G364" s="10"/>
      <c r="H364" s="20"/>
      <c r="I364" s="20"/>
      <c r="J364" s="10"/>
      <c r="K364" s="55"/>
      <c r="L364" s="10"/>
    </row>
    <row r="365" spans="2:14" ht="32" x14ac:dyDescent="0.45">
      <c r="B365" s="76"/>
      <c r="C365" s="865" t="s">
        <v>151</v>
      </c>
      <c r="D365" s="75">
        <v>153.22300000000001</v>
      </c>
      <c r="E365" s="75">
        <v>1542.96</v>
      </c>
      <c r="F365" s="56"/>
      <c r="G365" s="10"/>
      <c r="I365" s="20"/>
      <c r="J365" s="10"/>
      <c r="K365" s="55"/>
      <c r="L365" s="20"/>
      <c r="M365" s="1"/>
    </row>
    <row r="366" spans="2:14" ht="32" x14ac:dyDescent="0.45">
      <c r="B366" s="76"/>
      <c r="C366" s="22" t="s">
        <v>145</v>
      </c>
      <c r="D366" s="75">
        <v>553.01</v>
      </c>
      <c r="E366" s="75">
        <v>5568.808</v>
      </c>
      <c r="F366" s="10"/>
      <c r="G366" s="10"/>
      <c r="I366" s="20"/>
      <c r="L366" s="20"/>
      <c r="N366" s="6"/>
    </row>
    <row r="367" spans="2:14" ht="32" x14ac:dyDescent="0.45">
      <c r="B367" s="76"/>
      <c r="C367" s="22" t="s">
        <v>146</v>
      </c>
      <c r="D367" s="75">
        <v>35.695</v>
      </c>
      <c r="E367" s="75">
        <v>359.44</v>
      </c>
      <c r="F367" s="10"/>
      <c r="G367" s="10"/>
      <c r="H367" s="20"/>
      <c r="I367" s="20"/>
      <c r="L367" s="20"/>
      <c r="N367" s="6"/>
    </row>
    <row r="368" spans="2:14" ht="18" thickBot="1" x14ac:dyDescent="0.5">
      <c r="B368" s="96"/>
      <c r="C368" s="36" t="s">
        <v>147</v>
      </c>
      <c r="D368" s="97">
        <v>330.36099999999999</v>
      </c>
      <c r="E368" s="90">
        <v>3326.7350000000001</v>
      </c>
      <c r="F368" s="10"/>
      <c r="G368" s="28"/>
      <c r="H368" s="28"/>
      <c r="I368" s="20"/>
      <c r="L368" s="10"/>
    </row>
    <row r="369" spans="2:14" ht="17.5" x14ac:dyDescent="0.45">
      <c r="B369" s="93" t="s">
        <v>49</v>
      </c>
      <c r="C369" s="33" t="s">
        <v>80</v>
      </c>
      <c r="D369" s="94">
        <f>SUM(D370:D373)</f>
        <v>967.24499999999989</v>
      </c>
      <c r="E369" s="95">
        <f>D369*10.07</f>
        <v>9740.1571499999991</v>
      </c>
      <c r="F369" s="56"/>
      <c r="G369" s="10"/>
      <c r="H369" s="20"/>
      <c r="I369" s="20"/>
      <c r="L369" s="10"/>
    </row>
    <row r="370" spans="2:14" ht="37.4" customHeight="1" x14ac:dyDescent="0.45">
      <c r="B370" s="76"/>
      <c r="C370" s="865" t="s">
        <v>151</v>
      </c>
      <c r="D370" s="75">
        <f>100738/1000</f>
        <v>100.738</v>
      </c>
      <c r="E370" s="75">
        <f t="shared" ref="E370:E373" si="41">D370*10.07</f>
        <v>1014.4316600000001</v>
      </c>
      <c r="F370" s="56"/>
      <c r="G370" s="10"/>
      <c r="H370" s="20"/>
      <c r="I370" s="20"/>
      <c r="L370" s="10"/>
    </row>
    <row r="371" spans="2:14" ht="32" x14ac:dyDescent="0.45">
      <c r="B371" s="76"/>
      <c r="C371" s="22" t="s">
        <v>145</v>
      </c>
      <c r="D371" s="75">
        <f>518591/1000</f>
        <v>518.59100000000001</v>
      </c>
      <c r="E371" s="75">
        <f t="shared" si="41"/>
        <v>5222.21137</v>
      </c>
      <c r="F371" s="10"/>
      <c r="G371" s="10"/>
      <c r="H371" s="20"/>
      <c r="I371" s="20"/>
      <c r="J371" s="57"/>
      <c r="K371" s="57"/>
      <c r="L371" s="10"/>
      <c r="N371" s="6"/>
    </row>
    <row r="372" spans="2:14" ht="32" x14ac:dyDescent="0.45">
      <c r="B372" s="76"/>
      <c r="C372" s="22" t="s">
        <v>146</v>
      </c>
      <c r="D372" s="75">
        <f>33601/1000</f>
        <v>33.600999999999999</v>
      </c>
      <c r="E372" s="75">
        <f t="shared" si="41"/>
        <v>338.36207000000002</v>
      </c>
      <c r="F372" s="10"/>
      <c r="G372" s="10"/>
      <c r="H372" s="20"/>
      <c r="I372" s="20"/>
      <c r="J372" s="57"/>
      <c r="K372" s="57"/>
      <c r="L372" s="10"/>
      <c r="N372" s="6"/>
    </row>
    <row r="373" spans="2:14" ht="17.5" x14ac:dyDescent="0.45">
      <c r="B373" s="76"/>
      <c r="C373" s="22" t="s">
        <v>147</v>
      </c>
      <c r="D373" s="98">
        <f>314315/1000</f>
        <v>314.315</v>
      </c>
      <c r="E373" s="89">
        <f t="shared" si="41"/>
        <v>3165.1520500000001</v>
      </c>
      <c r="F373" s="10"/>
      <c r="G373" s="28"/>
      <c r="H373" s="28"/>
      <c r="I373" s="20"/>
      <c r="J373" s="55"/>
      <c r="K373" s="10"/>
      <c r="L373" s="10"/>
    </row>
    <row r="374" spans="2:14" ht="17.5" x14ac:dyDescent="0.45">
      <c r="B374" s="591" t="s">
        <v>50</v>
      </c>
      <c r="C374" s="592" t="s">
        <v>80</v>
      </c>
      <c r="D374" s="592">
        <f>SUM(D375:D379)</f>
        <v>653.72999999999979</v>
      </c>
      <c r="E374" s="593">
        <f>SUM(E375:E379)</f>
        <v>9389.9573019074905</v>
      </c>
      <c r="F374" s="56"/>
      <c r="G374" s="10"/>
      <c r="H374" s="20"/>
      <c r="I374" s="20"/>
      <c r="J374" s="10"/>
      <c r="K374" s="55"/>
      <c r="L374" s="10"/>
      <c r="N374" s="1"/>
    </row>
    <row r="375" spans="2:14" ht="32" x14ac:dyDescent="0.45">
      <c r="B375" s="594"/>
      <c r="C375" s="865" t="s">
        <v>151</v>
      </c>
      <c r="D375" s="75">
        <v>97.17</v>
      </c>
      <c r="E375" s="595">
        <v>886.88805550714835</v>
      </c>
      <c r="F375" s="56"/>
      <c r="G375" s="10"/>
      <c r="H375" s="20"/>
      <c r="I375" s="20"/>
      <c r="J375" s="10"/>
      <c r="K375" s="55"/>
      <c r="L375" s="10"/>
    </row>
    <row r="376" spans="2:14" ht="32" x14ac:dyDescent="0.45">
      <c r="B376" s="594"/>
      <c r="C376" s="22" t="s">
        <v>145</v>
      </c>
      <c r="D376" s="75">
        <v>541.9</v>
      </c>
      <c r="E376" s="595">
        <v>5131.9093621199809</v>
      </c>
      <c r="F376" s="10"/>
      <c r="G376" s="10"/>
      <c r="H376" s="20"/>
      <c r="I376" s="20"/>
      <c r="J376" s="57"/>
      <c r="K376" s="57"/>
      <c r="L376" s="10"/>
    </row>
    <row r="377" spans="2:14" ht="32" x14ac:dyDescent="0.45">
      <c r="B377" s="594"/>
      <c r="C377" s="22" t="s">
        <v>146</v>
      </c>
      <c r="D377" s="75">
        <v>12.3</v>
      </c>
      <c r="E377" s="595">
        <v>231.92833424934821</v>
      </c>
      <c r="F377" s="10"/>
      <c r="G377" s="10"/>
      <c r="H377" s="20"/>
      <c r="I377" s="20"/>
      <c r="J377" s="57"/>
      <c r="K377" s="57"/>
      <c r="L377" s="10"/>
    </row>
    <row r="378" spans="2:14" ht="17.5" x14ac:dyDescent="0.45">
      <c r="B378" s="594"/>
      <c r="C378" s="22" t="s">
        <v>147</v>
      </c>
      <c r="D378" s="75">
        <v>2.06</v>
      </c>
      <c r="E378" s="595">
        <v>3136.5153583257661</v>
      </c>
      <c r="F378" s="10"/>
      <c r="G378" s="28"/>
      <c r="H378" s="28"/>
      <c r="I378" s="20"/>
      <c r="J378" s="55"/>
      <c r="K378" s="10"/>
    </row>
    <row r="379" spans="2:14" ht="32" x14ac:dyDescent="0.45">
      <c r="B379" s="596"/>
      <c r="C379" s="597" t="s">
        <v>152</v>
      </c>
      <c r="D379" s="598">
        <v>0.3</v>
      </c>
      <c r="E379" s="599">
        <v>2.7161917052478208</v>
      </c>
      <c r="F379" s="10"/>
      <c r="G379" s="28"/>
      <c r="H379" s="28"/>
      <c r="I379" s="20"/>
    </row>
    <row r="380" spans="2:14" ht="17.5" x14ac:dyDescent="0.45">
      <c r="B380" s="10"/>
      <c r="C380" s="10"/>
      <c r="D380" s="10"/>
      <c r="E380" s="10"/>
      <c r="F380" s="10"/>
      <c r="G380" s="873"/>
      <c r="H380" s="10"/>
      <c r="I380" s="10"/>
      <c r="J380" s="20"/>
      <c r="K380" s="20"/>
      <c r="L380" s="10"/>
    </row>
    <row r="381" spans="2:14" s="601" customFormat="1" ht="21" x14ac:dyDescent="0.45">
      <c r="B381" s="659" t="s">
        <v>153</v>
      </c>
      <c r="C381" s="659"/>
      <c r="D381" s="604"/>
      <c r="E381" s="604"/>
      <c r="F381" s="604"/>
      <c r="G381" s="604"/>
      <c r="H381" s="604"/>
      <c r="I381" s="604"/>
      <c r="J381" s="604"/>
      <c r="K381" s="604"/>
      <c r="L381" s="658"/>
    </row>
    <row r="382" spans="2:14" ht="6.75" customHeight="1" x14ac:dyDescent="0.45">
      <c r="B382" s="50"/>
      <c r="C382" s="50"/>
      <c r="D382" s="20"/>
      <c r="E382" s="20"/>
      <c r="F382" s="20"/>
      <c r="G382" s="20"/>
      <c r="H382" s="20"/>
      <c r="I382" s="20"/>
      <c r="J382" s="20"/>
      <c r="K382" s="20"/>
      <c r="L382" s="10"/>
    </row>
    <row r="383" spans="2:14" s="601" customFormat="1" ht="17.5" x14ac:dyDescent="0.45">
      <c r="B383" s="657" t="s">
        <v>24</v>
      </c>
      <c r="C383" s="657"/>
      <c r="D383" s="604"/>
      <c r="E383" s="604"/>
      <c r="F383" s="604"/>
      <c r="G383" s="660"/>
      <c r="H383" s="604"/>
      <c r="I383" s="604"/>
      <c r="J383" s="604"/>
      <c r="K383" s="604"/>
      <c r="L383" s="658"/>
    </row>
    <row r="384" spans="2:14" ht="6" customHeight="1" thickBot="1" x14ac:dyDescent="0.5">
      <c r="B384" s="19"/>
      <c r="C384" s="19"/>
      <c r="D384" s="20"/>
      <c r="E384" s="10"/>
      <c r="F384" s="20"/>
      <c r="G384" s="20"/>
      <c r="H384" s="20"/>
      <c r="I384" s="20"/>
      <c r="J384" s="20"/>
      <c r="K384" s="20"/>
      <c r="L384" s="10"/>
    </row>
    <row r="385" spans="2:12" ht="17.5" x14ac:dyDescent="0.45">
      <c r="B385" s="876" t="s">
        <v>56</v>
      </c>
      <c r="C385" s="876" t="s">
        <v>75</v>
      </c>
      <c r="D385" s="876" t="s">
        <v>154</v>
      </c>
      <c r="E385" s="876" t="s">
        <v>155</v>
      </c>
      <c r="F385" s="876" t="s">
        <v>156</v>
      </c>
      <c r="G385" s="20"/>
      <c r="H385" s="20"/>
      <c r="I385" s="20"/>
      <c r="J385" s="20"/>
      <c r="K385" s="20"/>
      <c r="L385" s="10"/>
    </row>
    <row r="386" spans="2:12" ht="17.5" x14ac:dyDescent="0.45">
      <c r="B386" s="554" t="s">
        <v>43</v>
      </c>
      <c r="C386" s="564" t="s">
        <v>80</v>
      </c>
      <c r="D386" s="61">
        <f>SUM(D387:D389)</f>
        <v>32278.500000000004</v>
      </c>
      <c r="E386" s="61">
        <f>SUM(E387:E389)</f>
        <v>82536.899999999994</v>
      </c>
      <c r="F386" s="61">
        <f>SUM(F387:F389)</f>
        <v>94.2</v>
      </c>
      <c r="G386" s="20"/>
      <c r="H386" s="20"/>
      <c r="I386" s="20"/>
      <c r="J386" s="20"/>
      <c r="K386" s="20"/>
      <c r="L386" s="10"/>
    </row>
    <row r="387" spans="2:12" ht="17.5" x14ac:dyDescent="0.45">
      <c r="B387" s="551"/>
      <c r="C387" s="565" t="s">
        <v>102</v>
      </c>
      <c r="D387" s="364">
        <v>32042.9</v>
      </c>
      <c r="E387" s="344">
        <v>82504.399999999994</v>
      </c>
      <c r="F387" s="344">
        <v>94.2</v>
      </c>
      <c r="G387" s="20"/>
      <c r="H387" s="20"/>
      <c r="I387" s="20"/>
      <c r="J387" s="20"/>
      <c r="K387" s="20"/>
      <c r="L387" s="10"/>
    </row>
    <row r="388" spans="2:12" ht="17.5" x14ac:dyDescent="0.45">
      <c r="B388" s="551"/>
      <c r="C388" s="565" t="s">
        <v>103</v>
      </c>
      <c r="D388" s="364">
        <v>234.9</v>
      </c>
      <c r="E388" s="344">
        <v>32.5</v>
      </c>
      <c r="F388" s="344">
        <v>0</v>
      </c>
      <c r="G388" s="20"/>
      <c r="H388" s="20"/>
      <c r="I388" s="20"/>
      <c r="J388" s="20"/>
      <c r="K388" s="20"/>
      <c r="L388" s="10"/>
    </row>
    <row r="389" spans="2:12" ht="17.5" x14ac:dyDescent="0.45">
      <c r="B389" s="555"/>
      <c r="C389" s="566" t="s">
        <v>92</v>
      </c>
      <c r="D389" s="365">
        <v>0.7</v>
      </c>
      <c r="E389" s="182">
        <v>0</v>
      </c>
      <c r="F389" s="182">
        <v>0</v>
      </c>
      <c r="G389" s="20"/>
      <c r="H389" s="20"/>
      <c r="I389" s="20"/>
      <c r="J389" s="20"/>
      <c r="K389" s="20"/>
      <c r="L389" s="10"/>
    </row>
    <row r="390" spans="2:12" ht="17.5" x14ac:dyDescent="0.45">
      <c r="B390" s="554" t="s">
        <v>44</v>
      </c>
      <c r="C390" s="564" t="s">
        <v>80</v>
      </c>
      <c r="D390" s="61">
        <f>SUM(D391:D393)</f>
        <v>57039.4</v>
      </c>
      <c r="E390" s="61">
        <f>SUM(E391:E393)</f>
        <v>87072.7</v>
      </c>
      <c r="F390" s="61">
        <f>SUM(F391:F393)</f>
        <v>45.7</v>
      </c>
      <c r="G390" s="20"/>
      <c r="H390" s="20"/>
      <c r="I390" s="20"/>
      <c r="J390" s="20"/>
      <c r="K390" s="20"/>
      <c r="L390" s="10"/>
    </row>
    <row r="391" spans="2:12" ht="17.5" x14ac:dyDescent="0.45">
      <c r="B391" s="551"/>
      <c r="C391" s="565" t="s">
        <v>102</v>
      </c>
      <c r="D391" s="364">
        <v>56887.7</v>
      </c>
      <c r="E391" s="364">
        <v>86687.5</v>
      </c>
      <c r="F391" s="364">
        <v>45.7</v>
      </c>
      <c r="G391" s="20"/>
      <c r="H391" s="20"/>
      <c r="I391" s="20"/>
      <c r="J391" s="20"/>
      <c r="K391" s="20"/>
      <c r="L391" s="10"/>
    </row>
    <row r="392" spans="2:12" ht="17.5" x14ac:dyDescent="0.45">
      <c r="B392" s="551"/>
      <c r="C392" s="565" t="s">
        <v>103</v>
      </c>
      <c r="D392" s="364">
        <v>150.30000000000001</v>
      </c>
      <c r="E392" s="364">
        <v>385.2</v>
      </c>
      <c r="F392" s="364">
        <v>0</v>
      </c>
      <c r="G392" s="20"/>
      <c r="H392" s="20"/>
      <c r="I392" s="20"/>
      <c r="J392" s="20"/>
      <c r="K392" s="20"/>
      <c r="L392" s="10"/>
    </row>
    <row r="393" spans="2:12" ht="17.5" x14ac:dyDescent="0.45">
      <c r="B393" s="555"/>
      <c r="C393" s="566" t="s">
        <v>92</v>
      </c>
      <c r="D393" s="365">
        <v>1.4</v>
      </c>
      <c r="E393" s="365">
        <v>0</v>
      </c>
      <c r="F393" s="365">
        <v>0</v>
      </c>
      <c r="G393" s="20"/>
      <c r="H393" s="20"/>
      <c r="I393" s="20"/>
      <c r="J393" s="20"/>
      <c r="K393" s="20"/>
      <c r="L393" s="10"/>
    </row>
    <row r="394" spans="2:12" ht="17.5" x14ac:dyDescent="0.45">
      <c r="B394" s="31" t="s">
        <v>61</v>
      </c>
      <c r="C394" s="31" t="s">
        <v>80</v>
      </c>
      <c r="D394" s="61">
        <f>SUM(D395:D397)</f>
        <v>48183.1</v>
      </c>
      <c r="E394" s="61">
        <f>SUM(E395:E397)</f>
        <v>75209.899999999994</v>
      </c>
      <c r="F394" s="61">
        <f>SUM(F395:F397)</f>
        <v>31</v>
      </c>
      <c r="G394" s="10"/>
      <c r="H394" s="20"/>
      <c r="I394" s="20"/>
      <c r="J394" s="20"/>
      <c r="K394" s="20"/>
      <c r="L394" s="10"/>
    </row>
    <row r="395" spans="2:12" ht="17.5" x14ac:dyDescent="0.45">
      <c r="B395" s="22" t="s">
        <v>62</v>
      </c>
      <c r="C395" s="22" t="s">
        <v>102</v>
      </c>
      <c r="D395" s="364">
        <f>1078.6+46893</f>
        <v>47971.6</v>
      </c>
      <c r="E395" s="364">
        <f>72327.8+2500.4</f>
        <v>74828.2</v>
      </c>
      <c r="F395" s="364">
        <v>31</v>
      </c>
      <c r="G395" s="104"/>
      <c r="H395" s="20"/>
      <c r="I395" s="20"/>
      <c r="J395" s="20"/>
      <c r="K395" s="20"/>
      <c r="L395" s="10"/>
    </row>
    <row r="396" spans="2:12" ht="17.5" x14ac:dyDescent="0.45">
      <c r="B396" s="22"/>
      <c r="C396" s="22" t="s">
        <v>103</v>
      </c>
      <c r="D396" s="364">
        <v>210.1</v>
      </c>
      <c r="E396" s="364">
        <v>381.7</v>
      </c>
      <c r="F396" s="364">
        <v>0</v>
      </c>
      <c r="G396" s="20"/>
      <c r="H396" s="20"/>
      <c r="I396" s="20"/>
      <c r="J396" s="20"/>
      <c r="K396" s="20"/>
      <c r="L396" s="10"/>
    </row>
    <row r="397" spans="2:12" ht="17.5" x14ac:dyDescent="0.45">
      <c r="B397" s="181"/>
      <c r="C397" s="181" t="s">
        <v>92</v>
      </c>
      <c r="D397" s="365">
        <v>1.4</v>
      </c>
      <c r="E397" s="365">
        <v>0</v>
      </c>
      <c r="F397" s="365">
        <v>0</v>
      </c>
      <c r="G397" s="20"/>
      <c r="H397" s="20"/>
      <c r="I397" s="20"/>
      <c r="J397" s="11"/>
      <c r="K397" s="20"/>
      <c r="L397" s="10"/>
    </row>
    <row r="398" spans="2:12" ht="17.5" x14ac:dyDescent="0.45">
      <c r="B398" s="31" t="s">
        <v>61</v>
      </c>
      <c r="C398" s="31" t="s">
        <v>80</v>
      </c>
      <c r="D398" s="366">
        <f>SUM(D399:D401)</f>
        <v>50197.299999999996</v>
      </c>
      <c r="E398" s="366">
        <f>SUM(E399:E401)</f>
        <v>75447.899999999994</v>
      </c>
      <c r="F398" s="366">
        <f>SUM(F399:F401)</f>
        <v>31</v>
      </c>
      <c r="G398" s="10"/>
      <c r="H398" s="20"/>
      <c r="I398" s="20"/>
      <c r="J398" s="20"/>
      <c r="K398" s="20"/>
      <c r="L398" s="10"/>
    </row>
    <row r="399" spans="2:12" ht="17.5" x14ac:dyDescent="0.45">
      <c r="B399" s="22" t="s">
        <v>63</v>
      </c>
      <c r="C399" s="22" t="s">
        <v>102</v>
      </c>
      <c r="D399" s="364">
        <f>D395</f>
        <v>47971.6</v>
      </c>
      <c r="E399" s="364">
        <f>E395</f>
        <v>74828.2</v>
      </c>
      <c r="F399" s="364">
        <f>F395</f>
        <v>31</v>
      </c>
      <c r="G399" s="104"/>
      <c r="H399" s="20"/>
      <c r="I399" s="20"/>
      <c r="J399" s="20"/>
      <c r="K399" s="20"/>
      <c r="L399" s="10"/>
    </row>
    <row r="400" spans="2:12" ht="17.5" x14ac:dyDescent="0.45">
      <c r="B400" s="22"/>
      <c r="C400" s="22" t="s">
        <v>103</v>
      </c>
      <c r="D400" s="364">
        <f>2014.6+D396</f>
        <v>2224.6999999999998</v>
      </c>
      <c r="E400" s="364">
        <f>238+E396</f>
        <v>619.70000000000005</v>
      </c>
      <c r="F400" s="364">
        <v>0</v>
      </c>
      <c r="G400" s="20"/>
      <c r="H400" s="20"/>
      <c r="I400" s="20"/>
      <c r="J400" s="20"/>
      <c r="K400" s="20"/>
      <c r="L400" s="10"/>
    </row>
    <row r="401" spans="2:12" ht="18" thickBot="1" x14ac:dyDescent="0.5">
      <c r="B401" s="439"/>
      <c r="C401" s="439" t="s">
        <v>92</v>
      </c>
      <c r="D401" s="364">
        <v>1</v>
      </c>
      <c r="E401" s="364">
        <v>0</v>
      </c>
      <c r="F401" s="364">
        <v>0</v>
      </c>
      <c r="G401" s="20"/>
      <c r="H401" s="20"/>
      <c r="I401" s="20"/>
      <c r="J401" s="11"/>
      <c r="K401" s="20"/>
      <c r="L401" s="10"/>
    </row>
    <row r="402" spans="2:12" ht="17.5" x14ac:dyDescent="0.45">
      <c r="B402" s="306" t="s">
        <v>47</v>
      </c>
      <c r="C402" s="443" t="s">
        <v>80</v>
      </c>
      <c r="D402" s="459">
        <f t="shared" ref="D402:E402" si="42">SUM(D403:D405)</f>
        <v>13074.865124999997</v>
      </c>
      <c r="E402" s="460">
        <f t="shared" si="42"/>
        <v>50814.243379729742</v>
      </c>
      <c r="F402" s="446">
        <v>7</v>
      </c>
      <c r="G402" s="20"/>
      <c r="H402" s="20"/>
      <c r="I402" s="20"/>
      <c r="J402" s="11"/>
      <c r="K402" s="20"/>
      <c r="L402" s="10"/>
    </row>
    <row r="403" spans="2:12" ht="17.5" x14ac:dyDescent="0.45">
      <c r="B403" s="183"/>
      <c r="C403" s="444" t="s">
        <v>102</v>
      </c>
      <c r="D403" s="461">
        <f>D407</f>
        <v>13074.865124999997</v>
      </c>
      <c r="E403" s="344">
        <f>E407</f>
        <v>50814.243379729742</v>
      </c>
      <c r="F403" s="440">
        <v>7</v>
      </c>
      <c r="G403" s="20"/>
      <c r="H403" s="20"/>
      <c r="I403" s="20"/>
      <c r="J403" s="11"/>
      <c r="K403" s="20"/>
      <c r="L403" s="10"/>
    </row>
    <row r="404" spans="2:12" ht="17.5" x14ac:dyDescent="0.45">
      <c r="B404" s="183"/>
      <c r="C404" s="444" t="s">
        <v>103</v>
      </c>
      <c r="D404" s="461">
        <v>0</v>
      </c>
      <c r="E404" s="344">
        <v>0</v>
      </c>
      <c r="F404" s="440">
        <v>0</v>
      </c>
      <c r="G404" s="20"/>
      <c r="H404" s="20"/>
      <c r="I404" s="20"/>
      <c r="J404" s="11"/>
      <c r="K404" s="20"/>
      <c r="L404" s="10"/>
    </row>
    <row r="405" spans="2:12" ht="17.5" x14ac:dyDescent="0.45">
      <c r="B405" s="441"/>
      <c r="C405" s="445" t="s">
        <v>92</v>
      </c>
      <c r="D405" s="462">
        <v>0</v>
      </c>
      <c r="E405" s="463">
        <v>0</v>
      </c>
      <c r="F405" s="442">
        <v>0</v>
      </c>
      <c r="G405" s="20"/>
      <c r="H405" s="20"/>
      <c r="I405" s="20"/>
      <c r="J405" s="11"/>
      <c r="K405" s="20"/>
      <c r="L405" s="10"/>
    </row>
    <row r="406" spans="2:12" ht="17.5" x14ac:dyDescent="0.45">
      <c r="B406" s="31" t="s">
        <v>48</v>
      </c>
      <c r="C406" s="31" t="s">
        <v>80</v>
      </c>
      <c r="D406" s="61">
        <v>16527.727124999998</v>
      </c>
      <c r="E406" s="61">
        <v>51063.69187972974</v>
      </c>
      <c r="F406" s="61">
        <v>6.7200000000000006</v>
      </c>
      <c r="G406" s="10"/>
      <c r="H406" s="20"/>
      <c r="I406" s="20"/>
      <c r="J406" s="20"/>
      <c r="K406" s="20"/>
      <c r="L406" s="10"/>
    </row>
    <row r="407" spans="2:12" ht="17.5" x14ac:dyDescent="0.45">
      <c r="B407" s="22"/>
      <c r="C407" s="22" t="s">
        <v>102</v>
      </c>
      <c r="D407" s="23">
        <v>13074.865124999997</v>
      </c>
      <c r="E407" s="23">
        <v>50814.243379729742</v>
      </c>
      <c r="F407" s="23">
        <v>6.7200000000000006</v>
      </c>
      <c r="G407" s="104"/>
      <c r="H407" s="20"/>
      <c r="I407" s="20"/>
      <c r="J407" s="20"/>
      <c r="K407" s="20"/>
      <c r="L407" s="10"/>
    </row>
    <row r="408" spans="2:12" ht="17.5" x14ac:dyDescent="0.45">
      <c r="B408" s="22"/>
      <c r="C408" s="22" t="s">
        <v>103</v>
      </c>
      <c r="D408" s="23">
        <v>3452.8620000000001</v>
      </c>
      <c r="E408" s="23">
        <v>249.4485</v>
      </c>
      <c r="F408" s="23">
        <v>0</v>
      </c>
      <c r="G408" s="20"/>
      <c r="H408" s="20"/>
      <c r="I408" s="20"/>
      <c r="J408" s="20"/>
      <c r="K408" s="20"/>
      <c r="L408" s="10"/>
    </row>
    <row r="409" spans="2:12" ht="18" thickBot="1" x14ac:dyDescent="0.5">
      <c r="B409" s="181"/>
      <c r="C409" s="181" t="s">
        <v>92</v>
      </c>
      <c r="D409" s="182">
        <v>0</v>
      </c>
      <c r="E409" s="182">
        <v>0</v>
      </c>
      <c r="F409" s="182">
        <v>0</v>
      </c>
      <c r="G409" s="20"/>
      <c r="H409" s="20"/>
      <c r="I409" s="20"/>
      <c r="J409" s="11"/>
      <c r="K409" s="20"/>
      <c r="L409" s="10"/>
    </row>
    <row r="410" spans="2:12" ht="17.5" x14ac:dyDescent="0.45">
      <c r="B410" s="31" t="s">
        <v>49</v>
      </c>
      <c r="C410" s="31" t="s">
        <v>80</v>
      </c>
      <c r="D410" s="61">
        <f>SUM(D411:D413)</f>
        <v>27079.262675454553</v>
      </c>
      <c r="E410" s="61">
        <f>SUM(E411:E413)</f>
        <v>66504.263493366088</v>
      </c>
      <c r="F410" s="61">
        <f>SUM(F411:F413)</f>
        <v>4108</v>
      </c>
      <c r="G410" s="10"/>
      <c r="H410" s="20"/>
      <c r="I410" s="20"/>
      <c r="J410" s="20"/>
      <c r="K410" s="20"/>
      <c r="L410" s="10"/>
    </row>
    <row r="411" spans="2:12" ht="17.5" x14ac:dyDescent="0.45">
      <c r="B411" s="22"/>
      <c r="C411" s="22" t="s">
        <v>102</v>
      </c>
      <c r="D411" s="23">
        <v>24462.807766363643</v>
      </c>
      <c r="E411" s="23">
        <v>63565</v>
      </c>
      <c r="F411" s="23">
        <v>4108</v>
      </c>
      <c r="G411" s="104"/>
      <c r="H411" s="20"/>
      <c r="I411" s="20"/>
      <c r="J411" s="20"/>
      <c r="K411" s="20"/>
      <c r="L411" s="10"/>
    </row>
    <row r="412" spans="2:12" ht="17.5" x14ac:dyDescent="0.45">
      <c r="B412" s="22"/>
      <c r="C412" s="22" t="s">
        <v>103</v>
      </c>
      <c r="D412" s="23">
        <v>1619.1754090909078</v>
      </c>
      <c r="E412" s="23">
        <v>591.57286363636354</v>
      </c>
      <c r="F412" s="23">
        <v>0</v>
      </c>
      <c r="G412" s="20"/>
      <c r="H412" s="20"/>
      <c r="I412" s="20"/>
      <c r="J412" s="20"/>
      <c r="K412" s="20"/>
      <c r="L412" s="10"/>
    </row>
    <row r="413" spans="2:12" ht="18" thickBot="1" x14ac:dyDescent="0.5">
      <c r="B413" s="181"/>
      <c r="C413" s="181" t="s">
        <v>92</v>
      </c>
      <c r="D413" s="182">
        <f>996.555+0.7245</f>
        <v>997.27949999999998</v>
      </c>
      <c r="E413" s="182">
        <f>2339.62662972973+8.064</f>
        <v>2347.6906297297301</v>
      </c>
      <c r="F413" s="182">
        <v>0</v>
      </c>
      <c r="G413" s="20"/>
      <c r="H413" s="20"/>
      <c r="I413" s="20"/>
      <c r="J413" s="11"/>
      <c r="K413" s="20"/>
      <c r="L413" s="10"/>
    </row>
    <row r="414" spans="2:12" ht="17.5" x14ac:dyDescent="0.45">
      <c r="B414" s="31" t="s">
        <v>50</v>
      </c>
      <c r="C414" s="31" t="s">
        <v>80</v>
      </c>
      <c r="D414" s="61">
        <v>29567</v>
      </c>
      <c r="E414" s="99">
        <v>91951</v>
      </c>
      <c r="F414" s="61">
        <v>86</v>
      </c>
      <c r="G414" s="10"/>
      <c r="H414" s="20"/>
      <c r="I414" s="20"/>
      <c r="J414" s="20"/>
      <c r="K414" s="20"/>
      <c r="L414" s="10"/>
    </row>
    <row r="415" spans="2:12" ht="17.5" x14ac:dyDescent="0.45">
      <c r="B415" s="22"/>
      <c r="C415" s="22" t="s">
        <v>102</v>
      </c>
      <c r="D415" s="23">
        <v>26373</v>
      </c>
      <c r="E415" s="100">
        <v>60606</v>
      </c>
      <c r="F415" s="23">
        <v>49</v>
      </c>
      <c r="G415" s="104"/>
      <c r="H415" s="20"/>
      <c r="I415" s="20"/>
      <c r="J415" s="20"/>
      <c r="K415" s="20"/>
      <c r="L415" s="10"/>
    </row>
    <row r="416" spans="2:12" ht="17.5" x14ac:dyDescent="0.45">
      <c r="B416" s="22"/>
      <c r="C416" s="22" t="s">
        <v>103</v>
      </c>
      <c r="D416" s="23">
        <v>2314</v>
      </c>
      <c r="E416" s="100">
        <v>28986</v>
      </c>
      <c r="F416" s="23">
        <v>0</v>
      </c>
      <c r="G416" s="20"/>
      <c r="H416" s="20"/>
      <c r="I416" s="20"/>
      <c r="J416" s="20"/>
      <c r="K416" s="20"/>
      <c r="L416" s="10"/>
    </row>
    <row r="417" spans="2:14" ht="17.5" x14ac:dyDescent="0.45">
      <c r="B417" s="22"/>
      <c r="C417" s="22" t="s">
        <v>82</v>
      </c>
      <c r="D417" s="23">
        <v>879</v>
      </c>
      <c r="E417" s="100">
        <v>2350.8353906916996</v>
      </c>
      <c r="F417" s="23">
        <v>37</v>
      </c>
      <c r="G417" s="20"/>
      <c r="H417" s="20"/>
      <c r="I417" s="20"/>
      <c r="J417" s="11"/>
      <c r="K417" s="10"/>
      <c r="L417" s="10"/>
    </row>
    <row r="418" spans="2:14" ht="18" thickBot="1" x14ac:dyDescent="0.5">
      <c r="B418" s="36"/>
      <c r="C418" s="36" t="s">
        <v>92</v>
      </c>
      <c r="D418" s="62">
        <v>0.72449999999999992</v>
      </c>
      <c r="E418" s="62">
        <v>5</v>
      </c>
      <c r="F418" s="62">
        <v>0</v>
      </c>
      <c r="G418" s="20"/>
      <c r="H418" s="20"/>
      <c r="I418" s="20"/>
      <c r="J418" s="58"/>
      <c r="K418" s="10"/>
      <c r="L418" s="10"/>
    </row>
    <row r="419" spans="2:14" ht="17.5" x14ac:dyDescent="0.45">
      <c r="B419" s="19"/>
      <c r="C419" s="19"/>
      <c r="D419" s="20"/>
      <c r="E419" s="20"/>
      <c r="F419" s="20"/>
      <c r="G419" s="20"/>
      <c r="H419" s="20"/>
      <c r="I419" s="20"/>
      <c r="J419" s="20"/>
      <c r="K419" s="20"/>
      <c r="L419" s="10"/>
    </row>
    <row r="420" spans="2:14" s="601" customFormat="1" ht="17.5" x14ac:dyDescent="0.45">
      <c r="B420" s="657" t="s">
        <v>26</v>
      </c>
      <c r="C420" s="657"/>
      <c r="D420" s="604"/>
      <c r="E420" s="604"/>
      <c r="F420" s="604"/>
      <c r="G420" s="604"/>
      <c r="H420" s="604"/>
      <c r="I420" s="604"/>
      <c r="J420" s="604"/>
      <c r="K420" s="604"/>
      <c r="L420" s="658"/>
    </row>
    <row r="421" spans="2:14" ht="6" customHeight="1" thickBot="1" x14ac:dyDescent="0.5">
      <c r="B421" s="19"/>
      <c r="C421" s="19"/>
      <c r="D421" s="20"/>
      <c r="E421" s="10"/>
      <c r="F421" s="20"/>
      <c r="G421" s="20"/>
      <c r="H421" s="20"/>
      <c r="I421" s="20"/>
      <c r="J421" s="20"/>
      <c r="K421" s="20"/>
      <c r="L421" s="10"/>
    </row>
    <row r="422" spans="2:14" ht="32" x14ac:dyDescent="0.45">
      <c r="B422" s="906" t="s">
        <v>157</v>
      </c>
      <c r="C422" s="907"/>
      <c r="D422" s="875" t="s">
        <v>43</v>
      </c>
      <c r="E422" s="875" t="s">
        <v>44</v>
      </c>
      <c r="F422" s="876" t="s">
        <v>45</v>
      </c>
      <c r="G422" s="876" t="s">
        <v>46</v>
      </c>
      <c r="H422" s="876" t="s">
        <v>47</v>
      </c>
      <c r="I422" s="876" t="s">
        <v>48</v>
      </c>
      <c r="J422" s="876" t="s">
        <v>49</v>
      </c>
      <c r="K422" s="876" t="s">
        <v>50</v>
      </c>
      <c r="L422" s="873"/>
      <c r="M422" s="873"/>
      <c r="N422" s="20"/>
    </row>
    <row r="423" spans="2:14" ht="30" customHeight="1" x14ac:dyDescent="0.45">
      <c r="B423" s="908" t="s">
        <v>158</v>
      </c>
      <c r="C423" s="909"/>
      <c r="D423" s="850">
        <v>6816.1</v>
      </c>
      <c r="E423" s="364">
        <v>4388</v>
      </c>
      <c r="F423" s="364">
        <v>4388</v>
      </c>
      <c r="G423" s="364">
        <v>4388</v>
      </c>
      <c r="H423" s="23">
        <v>10081.61</v>
      </c>
      <c r="I423" s="23">
        <v>10081.61</v>
      </c>
      <c r="J423" s="23">
        <v>3912</v>
      </c>
      <c r="K423" s="23">
        <v>4610</v>
      </c>
      <c r="L423" s="873"/>
      <c r="M423" s="873"/>
      <c r="N423" s="20"/>
    </row>
    <row r="424" spans="2:14" ht="30" customHeight="1" x14ac:dyDescent="0.45">
      <c r="B424" s="908" t="s">
        <v>159</v>
      </c>
      <c r="C424" s="909"/>
      <c r="D424" s="851">
        <v>0</v>
      </c>
      <c r="E424" s="364">
        <v>0</v>
      </c>
      <c r="F424" s="364">
        <v>0</v>
      </c>
      <c r="G424" s="364">
        <v>0</v>
      </c>
      <c r="H424" s="23" t="s">
        <v>68</v>
      </c>
      <c r="I424" s="23" t="s">
        <v>68</v>
      </c>
      <c r="J424" s="23" t="s">
        <v>68</v>
      </c>
      <c r="K424" s="23" t="s">
        <v>68</v>
      </c>
      <c r="L424" s="12"/>
      <c r="M424" s="12"/>
      <c r="N424" s="20"/>
    </row>
    <row r="425" spans="2:14" ht="30" customHeight="1" x14ac:dyDescent="0.45">
      <c r="B425" s="903" t="s">
        <v>160</v>
      </c>
      <c r="C425" s="904"/>
      <c r="D425" s="852">
        <v>75070.899999999994</v>
      </c>
      <c r="E425" s="365">
        <v>87072.7</v>
      </c>
      <c r="F425" s="365">
        <v>57647</v>
      </c>
      <c r="G425" s="365">
        <v>57647</v>
      </c>
      <c r="H425" s="62">
        <v>38550.47750450451</v>
      </c>
      <c r="I425" s="62">
        <v>38550.47750450451</v>
      </c>
      <c r="J425" s="62">
        <v>47828</v>
      </c>
      <c r="K425" s="62">
        <v>47219</v>
      </c>
      <c r="L425" s="20"/>
      <c r="M425" s="20"/>
      <c r="N425" s="20"/>
    </row>
    <row r="426" spans="2:14" ht="17.5" x14ac:dyDescent="0.45">
      <c r="B426" s="19"/>
      <c r="C426" s="19"/>
      <c r="D426" s="20"/>
      <c r="E426" s="20"/>
      <c r="F426" s="20"/>
      <c r="G426" s="20"/>
      <c r="H426" s="20"/>
      <c r="I426" s="20"/>
      <c r="J426" s="20"/>
      <c r="K426" s="20"/>
      <c r="L426" s="20"/>
    </row>
    <row r="427" spans="2:14" s="601" customFormat="1" ht="17.5" x14ac:dyDescent="0.45">
      <c r="B427" s="657" t="s">
        <v>28</v>
      </c>
      <c r="C427" s="657"/>
      <c r="D427" s="604"/>
      <c r="E427" s="604"/>
      <c r="F427" s="604"/>
      <c r="G427" s="604"/>
      <c r="H427" s="604"/>
      <c r="I427" s="604"/>
      <c r="J427" s="604"/>
      <c r="K427" s="604"/>
      <c r="L427" s="658"/>
    </row>
    <row r="428" spans="2:14" ht="6" customHeight="1" thickBot="1" x14ac:dyDescent="0.5">
      <c r="B428" s="19"/>
      <c r="C428" s="19"/>
      <c r="D428" s="20"/>
      <c r="E428" s="10"/>
      <c r="F428" s="20"/>
      <c r="G428" s="20"/>
      <c r="H428" s="20"/>
      <c r="I428" s="20"/>
      <c r="J428" s="20"/>
      <c r="K428" s="20"/>
      <c r="L428" s="10"/>
    </row>
    <row r="429" spans="2:14" ht="48.5" thickBot="1" x14ac:dyDescent="0.5">
      <c r="B429" s="876" t="s">
        <v>56</v>
      </c>
      <c r="C429" s="876" t="s">
        <v>161</v>
      </c>
      <c r="D429" s="876" t="s">
        <v>162</v>
      </c>
      <c r="E429" s="876" t="s">
        <v>163</v>
      </c>
      <c r="F429" s="876" t="s">
        <v>164</v>
      </c>
      <c r="G429" s="876" t="s">
        <v>165</v>
      </c>
      <c r="H429" s="876" t="s">
        <v>166</v>
      </c>
      <c r="I429" s="876" t="s">
        <v>167</v>
      </c>
      <c r="J429" s="876" t="s">
        <v>54</v>
      </c>
      <c r="K429" s="876" t="s">
        <v>168</v>
      </c>
      <c r="L429" s="10"/>
    </row>
    <row r="430" spans="2:14" ht="17.5" x14ac:dyDescent="0.45">
      <c r="B430" s="567" t="s">
        <v>43</v>
      </c>
      <c r="C430" s="568" t="s">
        <v>102</v>
      </c>
      <c r="D430" s="853">
        <v>2062</v>
      </c>
      <c r="E430" s="853">
        <v>62483.3</v>
      </c>
      <c r="F430" s="853">
        <f>3558.9+449.4</f>
        <v>4008.3</v>
      </c>
      <c r="G430" s="853">
        <v>310.7</v>
      </c>
      <c r="H430" s="853">
        <v>4960.3999999999996</v>
      </c>
      <c r="I430" s="853">
        <v>1214</v>
      </c>
      <c r="J430" s="853">
        <f>SUM(D430:I430)</f>
        <v>75038.7</v>
      </c>
      <c r="K430" s="853">
        <v>650</v>
      </c>
      <c r="L430" s="10"/>
    </row>
    <row r="431" spans="2:14" ht="17.5" x14ac:dyDescent="0.45">
      <c r="B431" s="569"/>
      <c r="C431" s="551" t="s">
        <v>76</v>
      </c>
      <c r="D431" s="854">
        <v>0</v>
      </c>
      <c r="E431" s="854">
        <v>0</v>
      </c>
      <c r="F431" s="854">
        <v>1.7</v>
      </c>
      <c r="G431" s="854">
        <v>22</v>
      </c>
      <c r="H431" s="854">
        <v>7.7</v>
      </c>
      <c r="I431" s="854">
        <v>1.1000000000000001</v>
      </c>
      <c r="J431" s="854">
        <f t="shared" ref="J431:J432" si="43">SUM(D431:I431)</f>
        <v>32.5</v>
      </c>
      <c r="K431" s="854">
        <v>0</v>
      </c>
      <c r="L431" s="10"/>
    </row>
    <row r="432" spans="2:14" ht="17.5" x14ac:dyDescent="0.45">
      <c r="B432" s="569"/>
      <c r="C432" s="570" t="s">
        <v>92</v>
      </c>
      <c r="D432" s="854">
        <v>0</v>
      </c>
      <c r="E432" s="854">
        <v>0</v>
      </c>
      <c r="F432" s="854">
        <v>0</v>
      </c>
      <c r="G432" s="854">
        <v>0</v>
      </c>
      <c r="H432" s="854">
        <v>0</v>
      </c>
      <c r="I432" s="854">
        <v>0</v>
      </c>
      <c r="J432" s="854">
        <f t="shared" si="43"/>
        <v>0</v>
      </c>
      <c r="K432" s="854">
        <v>0</v>
      </c>
      <c r="L432" s="10"/>
    </row>
    <row r="433" spans="2:12" ht="17.5" x14ac:dyDescent="0.45">
      <c r="B433" s="571"/>
      <c r="C433" s="572" t="s">
        <v>54</v>
      </c>
      <c r="D433" s="855">
        <f t="shared" ref="D433" si="44">SUM(D430:D432)</f>
        <v>2062</v>
      </c>
      <c r="E433" s="855">
        <f>SUM(E430:E432)</f>
        <v>62483.3</v>
      </c>
      <c r="F433" s="855">
        <f t="shared" ref="F433:K433" si="45">SUM(F430:F432)</f>
        <v>4010</v>
      </c>
      <c r="G433" s="855">
        <f t="shared" si="45"/>
        <v>332.7</v>
      </c>
      <c r="H433" s="855">
        <f t="shared" si="45"/>
        <v>4968.0999999999995</v>
      </c>
      <c r="I433" s="855">
        <f t="shared" si="45"/>
        <v>1215.0999999999999</v>
      </c>
      <c r="J433" s="855">
        <f t="shared" si="45"/>
        <v>75071.199999999997</v>
      </c>
      <c r="K433" s="855">
        <f t="shared" si="45"/>
        <v>650</v>
      </c>
      <c r="L433" s="10"/>
    </row>
    <row r="434" spans="2:12" ht="17.5" x14ac:dyDescent="0.45">
      <c r="B434" s="567" t="s">
        <v>44</v>
      </c>
      <c r="C434" s="568" t="s">
        <v>102</v>
      </c>
      <c r="D434" s="377">
        <v>3965</v>
      </c>
      <c r="E434" s="377">
        <v>66059</v>
      </c>
      <c r="F434" s="377">
        <v>2787</v>
      </c>
      <c r="G434" s="377">
        <v>267</v>
      </c>
      <c r="H434" s="377">
        <v>5513</v>
      </c>
      <c r="I434" s="377">
        <v>832</v>
      </c>
      <c r="J434" s="378">
        <f>SUM(D434:I434)</f>
        <v>79423</v>
      </c>
      <c r="K434" s="379">
        <v>984</v>
      </c>
      <c r="L434" s="10"/>
    </row>
    <row r="435" spans="2:12" ht="17.5" x14ac:dyDescent="0.45">
      <c r="B435" s="569"/>
      <c r="C435" s="551" t="s">
        <v>76</v>
      </c>
      <c r="D435" s="380">
        <v>0</v>
      </c>
      <c r="E435" s="380"/>
      <c r="F435" s="380"/>
      <c r="G435" s="380"/>
      <c r="H435" s="380"/>
      <c r="I435" s="380"/>
      <c r="J435" s="381"/>
      <c r="K435" s="382"/>
      <c r="L435" s="10"/>
    </row>
    <row r="436" spans="2:12" ht="17.5" x14ac:dyDescent="0.45">
      <c r="B436" s="569"/>
      <c r="C436" s="570" t="s">
        <v>92</v>
      </c>
      <c r="D436" s="380">
        <v>0</v>
      </c>
      <c r="E436" s="380">
        <v>0</v>
      </c>
      <c r="F436" s="380"/>
      <c r="G436" s="380"/>
      <c r="H436" s="380"/>
      <c r="I436" s="380"/>
      <c r="J436" s="381"/>
      <c r="K436" s="382"/>
      <c r="L436" s="10"/>
    </row>
    <row r="437" spans="2:12" ht="17.5" x14ac:dyDescent="0.45">
      <c r="B437" s="571"/>
      <c r="C437" s="572" t="s">
        <v>54</v>
      </c>
      <c r="D437" s="383">
        <f>SUM(D434:D435)</f>
        <v>3965</v>
      </c>
      <c r="E437" s="383">
        <f t="shared" ref="E437:K437" si="46">SUM(E434:E436)</f>
        <v>66059</v>
      </c>
      <c r="F437" s="383">
        <f t="shared" si="46"/>
        <v>2787</v>
      </c>
      <c r="G437" s="383">
        <f t="shared" si="46"/>
        <v>267</v>
      </c>
      <c r="H437" s="383">
        <f t="shared" si="46"/>
        <v>5513</v>
      </c>
      <c r="I437" s="383">
        <f t="shared" si="46"/>
        <v>832</v>
      </c>
      <c r="J437" s="383">
        <f t="shared" si="46"/>
        <v>79423</v>
      </c>
      <c r="K437" s="383">
        <f t="shared" si="46"/>
        <v>984</v>
      </c>
      <c r="L437" s="10"/>
    </row>
    <row r="438" spans="2:12" ht="17.5" x14ac:dyDescent="0.45">
      <c r="B438" s="189" t="s">
        <v>61</v>
      </c>
      <c r="C438" s="191" t="s">
        <v>102</v>
      </c>
      <c r="D438" s="377">
        <v>760</v>
      </c>
      <c r="E438" s="377">
        <f>56887+4388</f>
        <v>61275</v>
      </c>
      <c r="F438" s="377">
        <v>2870</v>
      </c>
      <c r="G438" s="377">
        <v>1086</v>
      </c>
      <c r="H438" s="377">
        <v>5972</v>
      </c>
      <c r="I438" s="377">
        <v>2196</v>
      </c>
      <c r="J438" s="378">
        <f>SUM(D438:I438)</f>
        <v>74159</v>
      </c>
      <c r="K438" s="379">
        <v>579</v>
      </c>
      <c r="L438" s="10"/>
    </row>
    <row r="439" spans="2:12" ht="17.5" x14ac:dyDescent="0.45">
      <c r="B439" s="192" t="s">
        <v>62</v>
      </c>
      <c r="C439" s="22" t="s">
        <v>76</v>
      </c>
      <c r="D439" s="380">
        <v>0</v>
      </c>
      <c r="E439" s="380">
        <v>0</v>
      </c>
      <c r="F439" s="380"/>
      <c r="G439" s="380"/>
      <c r="H439" s="380"/>
      <c r="I439" s="380"/>
      <c r="J439" s="381"/>
      <c r="K439" s="382"/>
      <c r="L439" s="10"/>
    </row>
    <row r="440" spans="2:12" ht="17.5" x14ac:dyDescent="0.45">
      <c r="B440" s="192"/>
      <c r="C440" s="188" t="s">
        <v>92</v>
      </c>
      <c r="D440" s="380">
        <v>0</v>
      </c>
      <c r="E440" s="380">
        <v>0</v>
      </c>
      <c r="F440" s="380"/>
      <c r="G440" s="380"/>
      <c r="H440" s="380"/>
      <c r="I440" s="380"/>
      <c r="J440" s="381"/>
      <c r="K440" s="382"/>
      <c r="L440" s="10"/>
    </row>
    <row r="441" spans="2:12" ht="18" thickBot="1" x14ac:dyDescent="0.5">
      <c r="B441" s="193"/>
      <c r="C441" s="186" t="s">
        <v>54</v>
      </c>
      <c r="D441" s="383">
        <f>SUM(D438:D439)</f>
        <v>760</v>
      </c>
      <c r="E441" s="383">
        <f t="shared" ref="E441:K441" si="47">SUM(E438:E440)</f>
        <v>61275</v>
      </c>
      <c r="F441" s="383">
        <f t="shared" si="47"/>
        <v>2870</v>
      </c>
      <c r="G441" s="383">
        <f t="shared" si="47"/>
        <v>1086</v>
      </c>
      <c r="H441" s="383">
        <f t="shared" si="47"/>
        <v>5972</v>
      </c>
      <c r="I441" s="383">
        <f t="shared" si="47"/>
        <v>2196</v>
      </c>
      <c r="J441" s="383">
        <f t="shared" si="47"/>
        <v>74159</v>
      </c>
      <c r="K441" s="383">
        <f t="shared" si="47"/>
        <v>579</v>
      </c>
      <c r="L441" s="10"/>
    </row>
    <row r="442" spans="2:12" ht="17.5" x14ac:dyDescent="0.45">
      <c r="B442" s="189" t="s">
        <v>61</v>
      </c>
      <c r="C442" s="191" t="s">
        <v>102</v>
      </c>
      <c r="D442" s="377">
        <v>760</v>
      </c>
      <c r="E442" s="377">
        <f>56887+4388</f>
        <v>61275</v>
      </c>
      <c r="F442" s="377">
        <v>2870</v>
      </c>
      <c r="G442" s="377">
        <f>G438</f>
        <v>1086</v>
      </c>
      <c r="H442" s="377">
        <f>H438</f>
        <v>5972</v>
      </c>
      <c r="I442" s="377">
        <f>I438</f>
        <v>2196</v>
      </c>
      <c r="J442" s="377">
        <f>J438</f>
        <v>74159</v>
      </c>
      <c r="K442" s="377">
        <f>K438</f>
        <v>579</v>
      </c>
      <c r="L442" s="10"/>
    </row>
    <row r="443" spans="2:12" ht="17.5" x14ac:dyDescent="0.45">
      <c r="B443" s="192" t="s">
        <v>169</v>
      </c>
      <c r="C443" s="22" t="s">
        <v>76</v>
      </c>
      <c r="D443" s="380">
        <v>0</v>
      </c>
      <c r="E443" s="380"/>
      <c r="F443" s="380">
        <v>1</v>
      </c>
      <c r="G443" s="380"/>
      <c r="H443" s="380">
        <v>237</v>
      </c>
      <c r="I443" s="380"/>
      <c r="J443" s="381">
        <f>SUM(D443:I443)</f>
        <v>238</v>
      </c>
      <c r="K443" s="382"/>
      <c r="L443" s="10"/>
    </row>
    <row r="444" spans="2:12" ht="17.5" x14ac:dyDescent="0.45">
      <c r="B444" s="192"/>
      <c r="C444" s="188" t="s">
        <v>92</v>
      </c>
      <c r="D444" s="380">
        <v>0</v>
      </c>
      <c r="E444" s="380"/>
      <c r="F444" s="380"/>
      <c r="G444" s="380"/>
      <c r="H444" s="380"/>
      <c r="I444" s="380"/>
      <c r="J444" s="381"/>
      <c r="K444" s="382"/>
      <c r="L444" s="10"/>
    </row>
    <row r="445" spans="2:12" ht="18" thickBot="1" x14ac:dyDescent="0.5">
      <c r="B445" s="193"/>
      <c r="C445" s="186" t="s">
        <v>54</v>
      </c>
      <c r="D445" s="185">
        <f>SUM(D442:D444)</f>
        <v>760</v>
      </c>
      <c r="E445" s="185">
        <f t="shared" ref="E445:K445" si="48">SUM(E442:E444)</f>
        <v>61275</v>
      </c>
      <c r="F445" s="185">
        <f t="shared" si="48"/>
        <v>2871</v>
      </c>
      <c r="G445" s="185">
        <f t="shared" si="48"/>
        <v>1086</v>
      </c>
      <c r="H445" s="185">
        <f t="shared" si="48"/>
        <v>6209</v>
      </c>
      <c r="I445" s="185">
        <f t="shared" si="48"/>
        <v>2196</v>
      </c>
      <c r="J445" s="185">
        <f t="shared" si="48"/>
        <v>74397</v>
      </c>
      <c r="K445" s="185">
        <f t="shared" si="48"/>
        <v>579</v>
      </c>
      <c r="L445" s="10"/>
    </row>
    <row r="446" spans="2:12" ht="17.5" x14ac:dyDescent="0.45">
      <c r="B446" s="189" t="s">
        <v>47</v>
      </c>
      <c r="C446" s="191" t="s">
        <v>102</v>
      </c>
      <c r="D446" s="201">
        <v>500</v>
      </c>
      <c r="E446" s="201">
        <v>32810</v>
      </c>
      <c r="F446" s="201">
        <v>1145</v>
      </c>
      <c r="G446" s="201">
        <v>234</v>
      </c>
      <c r="H446" s="201">
        <v>2217</v>
      </c>
      <c r="I446" s="201">
        <v>1407</v>
      </c>
      <c r="J446" s="190">
        <v>48395</v>
      </c>
      <c r="K446" s="202">
        <v>173</v>
      </c>
      <c r="L446" s="10"/>
    </row>
    <row r="447" spans="2:12" ht="17.5" x14ac:dyDescent="0.45">
      <c r="B447" s="192"/>
      <c r="C447" s="22" t="s">
        <v>76</v>
      </c>
      <c r="D447" s="105" t="s">
        <v>68</v>
      </c>
      <c r="E447" s="105" t="s">
        <v>68</v>
      </c>
      <c r="F447" s="105" t="s">
        <v>68</v>
      </c>
      <c r="G447" s="105"/>
      <c r="H447" s="101"/>
      <c r="I447" s="105"/>
      <c r="J447" s="447"/>
      <c r="K447" s="199">
        <v>0</v>
      </c>
      <c r="L447" s="10"/>
    </row>
    <row r="448" spans="2:12" ht="17.5" x14ac:dyDescent="0.45">
      <c r="B448" s="192"/>
      <c r="C448" s="188" t="s">
        <v>92</v>
      </c>
      <c r="D448" s="106" t="s">
        <v>68</v>
      </c>
      <c r="E448" s="106"/>
      <c r="F448" s="106" t="s">
        <v>68</v>
      </c>
      <c r="G448" s="106"/>
      <c r="H448" s="101"/>
      <c r="I448" s="106"/>
      <c r="J448" s="447"/>
      <c r="K448" s="196">
        <v>0</v>
      </c>
      <c r="L448" s="10"/>
    </row>
    <row r="449" spans="2:12" ht="18" thickBot="1" x14ac:dyDescent="0.5">
      <c r="B449" s="193"/>
      <c r="C449" s="186" t="s">
        <v>54</v>
      </c>
      <c r="D449" s="185">
        <v>500</v>
      </c>
      <c r="E449" s="185">
        <v>32810</v>
      </c>
      <c r="F449" s="185">
        <v>1145</v>
      </c>
      <c r="G449" s="185">
        <v>234</v>
      </c>
      <c r="H449" s="185">
        <v>2217</v>
      </c>
      <c r="I449" s="185">
        <v>1407</v>
      </c>
      <c r="J449" s="447">
        <v>48395</v>
      </c>
      <c r="K449" s="187">
        <v>173</v>
      </c>
      <c r="L449" s="10"/>
    </row>
    <row r="450" spans="2:12" ht="17.5" x14ac:dyDescent="0.45">
      <c r="B450" s="189" t="s">
        <v>48</v>
      </c>
      <c r="C450" s="191" t="s">
        <v>102</v>
      </c>
      <c r="D450" s="201">
        <v>500</v>
      </c>
      <c r="E450" s="201">
        <v>32810</v>
      </c>
      <c r="F450" s="201">
        <v>1145</v>
      </c>
      <c r="G450" s="201">
        <v>234</v>
      </c>
      <c r="H450" s="201">
        <v>2217</v>
      </c>
      <c r="I450" s="201">
        <v>1407</v>
      </c>
      <c r="J450" s="190">
        <v>48395</v>
      </c>
      <c r="K450" s="202">
        <v>173</v>
      </c>
      <c r="L450" s="20"/>
    </row>
    <row r="451" spans="2:12" ht="17.5" x14ac:dyDescent="0.45">
      <c r="B451" s="192"/>
      <c r="C451" s="22" t="s">
        <v>76</v>
      </c>
      <c r="D451" s="105" t="s">
        <v>68</v>
      </c>
      <c r="E451" s="105" t="s">
        <v>68</v>
      </c>
      <c r="F451" s="105" t="s">
        <v>68</v>
      </c>
      <c r="G451" s="105"/>
      <c r="H451" s="105">
        <v>474</v>
      </c>
      <c r="I451" s="105"/>
      <c r="J451" s="103">
        <f>SUM(D451:I451)</f>
        <v>474</v>
      </c>
      <c r="K451" s="199">
        <v>0</v>
      </c>
      <c r="L451" s="20"/>
    </row>
    <row r="452" spans="2:12" ht="17.5" x14ac:dyDescent="0.45">
      <c r="B452" s="192"/>
      <c r="C452" s="188" t="s">
        <v>92</v>
      </c>
      <c r="D452" s="106" t="s">
        <v>68</v>
      </c>
      <c r="E452" s="106"/>
      <c r="F452" s="106" t="s">
        <v>68</v>
      </c>
      <c r="G452" s="106"/>
      <c r="H452" s="106"/>
      <c r="I452" s="106"/>
      <c r="J452" s="102">
        <v>0</v>
      </c>
      <c r="K452" s="196">
        <v>0</v>
      </c>
      <c r="L452" s="20"/>
    </row>
    <row r="453" spans="2:12" ht="18" thickBot="1" x14ac:dyDescent="0.5">
      <c r="B453" s="193"/>
      <c r="C453" s="186" t="s">
        <v>54</v>
      </c>
      <c r="D453" s="185">
        <v>500</v>
      </c>
      <c r="E453" s="185">
        <v>32810</v>
      </c>
      <c r="F453" s="185">
        <v>1145</v>
      </c>
      <c r="G453" s="185">
        <v>234</v>
      </c>
      <c r="H453" s="185">
        <v>2454</v>
      </c>
      <c r="I453" s="185">
        <v>1407</v>
      </c>
      <c r="J453" s="185">
        <v>48632</v>
      </c>
      <c r="K453" s="187">
        <v>173</v>
      </c>
      <c r="L453" s="20"/>
    </row>
    <row r="454" spans="2:12" ht="17.5" x14ac:dyDescent="0.45">
      <c r="B454" s="189" t="s">
        <v>49</v>
      </c>
      <c r="C454" s="191" t="s">
        <v>102</v>
      </c>
      <c r="D454" s="201">
        <v>3620.5599999999981</v>
      </c>
      <c r="E454" s="201">
        <v>43847.021661859697</v>
      </c>
      <c r="F454" s="201">
        <v>3894.6316818181822</v>
      </c>
      <c r="G454" s="201">
        <v>271.43799999999993</v>
      </c>
      <c r="H454" s="201">
        <v>4398.2300000000032</v>
      </c>
      <c r="I454" s="201">
        <v>594.00000000000011</v>
      </c>
      <c r="J454" s="190">
        <f>SUM(D454:I454)</f>
        <v>56625.88134367788</v>
      </c>
      <c r="K454" s="202">
        <v>101.41999999999997</v>
      </c>
      <c r="L454" s="10"/>
    </row>
    <row r="455" spans="2:12" ht="17.5" x14ac:dyDescent="0.45">
      <c r="B455" s="192"/>
      <c r="C455" s="22" t="s">
        <v>76</v>
      </c>
      <c r="D455" s="105">
        <v>0</v>
      </c>
      <c r="E455" s="105">
        <v>0</v>
      </c>
      <c r="F455" s="105">
        <v>21.620000000000005</v>
      </c>
      <c r="G455" s="105">
        <v>0</v>
      </c>
      <c r="H455" s="105">
        <v>541.78272727272736</v>
      </c>
      <c r="I455" s="105">
        <v>0</v>
      </c>
      <c r="J455" s="103">
        <f t="shared" ref="J455:J456" si="49">SUM(D455:I455)</f>
        <v>563.40272727272736</v>
      </c>
      <c r="K455" s="199">
        <v>0</v>
      </c>
      <c r="L455" s="10"/>
    </row>
    <row r="456" spans="2:12" ht="17.5" x14ac:dyDescent="0.45">
      <c r="B456" s="192"/>
      <c r="C456" s="188" t="s">
        <v>92</v>
      </c>
      <c r="D456" s="106">
        <v>0</v>
      </c>
      <c r="E456" s="106">
        <v>360.14283783783787</v>
      </c>
      <c r="F456" s="106">
        <f>218.17+7.68</f>
        <v>225.85</v>
      </c>
      <c r="G456" s="106">
        <v>0</v>
      </c>
      <c r="H456" s="106">
        <v>1235.0930000000003</v>
      </c>
      <c r="I456" s="106">
        <v>414.81000000000006</v>
      </c>
      <c r="J456" s="102">
        <f t="shared" si="49"/>
        <v>2235.8958378378384</v>
      </c>
      <c r="K456" s="196">
        <v>100.59999999999998</v>
      </c>
      <c r="L456" s="10"/>
    </row>
    <row r="457" spans="2:12" ht="14.25" hidden="1" customHeight="1" x14ac:dyDescent="0.45">
      <c r="B457" s="192"/>
      <c r="C457" s="188"/>
      <c r="D457" s="106"/>
      <c r="E457" s="106"/>
      <c r="F457" s="106"/>
      <c r="G457" s="106"/>
      <c r="H457" s="106"/>
      <c r="I457" s="106"/>
      <c r="J457" s="102"/>
      <c r="K457" s="196"/>
      <c r="L457" s="10"/>
    </row>
    <row r="458" spans="2:12" ht="18" thickBot="1" x14ac:dyDescent="0.5">
      <c r="B458" s="193"/>
      <c r="C458" s="203" t="s">
        <v>54</v>
      </c>
      <c r="D458" s="200">
        <f>SUM(D454:D457)</f>
        <v>3620.5599999999981</v>
      </c>
      <c r="E458" s="200">
        <f t="shared" ref="E458:I458" si="50">SUM(E454:E457)</f>
        <v>44207.164499697537</v>
      </c>
      <c r="F458" s="200">
        <f t="shared" si="50"/>
        <v>4142.1016818181824</v>
      </c>
      <c r="G458" s="200">
        <f t="shared" si="50"/>
        <v>271.43799999999993</v>
      </c>
      <c r="H458" s="200">
        <f t="shared" si="50"/>
        <v>6175.1057272727303</v>
      </c>
      <c r="I458" s="200">
        <f t="shared" si="50"/>
        <v>1008.8100000000002</v>
      </c>
      <c r="J458" s="200">
        <f t="shared" ref="J458:J463" si="51">SUM(D458:I458)</f>
        <v>59425.179908788443</v>
      </c>
      <c r="K458" s="204">
        <f>SUM(K454:K457)</f>
        <v>202.01999999999995</v>
      </c>
      <c r="L458" s="10"/>
    </row>
    <row r="459" spans="2:12" ht="17.5" x14ac:dyDescent="0.45">
      <c r="B459" s="189" t="s">
        <v>50</v>
      </c>
      <c r="C459" s="197" t="s">
        <v>102</v>
      </c>
      <c r="D459" s="194">
        <v>3801.587999999997</v>
      </c>
      <c r="E459" s="194">
        <v>46839</v>
      </c>
      <c r="F459" s="194">
        <v>3627</v>
      </c>
      <c r="G459" s="194">
        <v>274.61490000000003</v>
      </c>
      <c r="H459" s="194">
        <v>4801</v>
      </c>
      <c r="I459" s="194">
        <v>1264.2735</v>
      </c>
      <c r="J459" s="198">
        <f t="shared" si="51"/>
        <v>60607.4764</v>
      </c>
      <c r="K459" s="195">
        <v>125</v>
      </c>
      <c r="L459" s="10"/>
    </row>
    <row r="460" spans="2:12" ht="17.5" x14ac:dyDescent="0.45">
      <c r="B460" s="192"/>
      <c r="C460" s="22" t="s">
        <v>76</v>
      </c>
      <c r="D460" s="106" t="s">
        <v>68</v>
      </c>
      <c r="E460" s="105" t="s">
        <v>68</v>
      </c>
      <c r="F460" s="105">
        <v>22.522500000000001</v>
      </c>
      <c r="G460" s="106" t="s">
        <v>68</v>
      </c>
      <c r="H460" s="105">
        <v>28963.200000000001</v>
      </c>
      <c r="I460" s="106" t="s">
        <v>68</v>
      </c>
      <c r="J460" s="102">
        <f t="shared" si="51"/>
        <v>28985.7225</v>
      </c>
      <c r="K460" s="199">
        <v>0</v>
      </c>
      <c r="L460" s="10"/>
    </row>
    <row r="461" spans="2:12" ht="17.5" x14ac:dyDescent="0.45">
      <c r="B461" s="192"/>
      <c r="C461" s="22" t="s">
        <v>82</v>
      </c>
      <c r="D461" s="106" t="s">
        <v>68</v>
      </c>
      <c r="E461" s="106">
        <v>380</v>
      </c>
      <c r="F461" s="106">
        <v>311</v>
      </c>
      <c r="G461" s="106" t="s">
        <v>68</v>
      </c>
      <c r="H461" s="106">
        <v>1292</v>
      </c>
      <c r="I461" s="106">
        <v>369</v>
      </c>
      <c r="J461" s="102">
        <f t="shared" si="51"/>
        <v>2352</v>
      </c>
      <c r="K461" s="196">
        <v>165</v>
      </c>
      <c r="L461" s="10"/>
    </row>
    <row r="462" spans="2:12" ht="17.5" x14ac:dyDescent="0.45">
      <c r="B462" s="192"/>
      <c r="C462" s="22" t="s">
        <v>92</v>
      </c>
      <c r="D462" s="106" t="s">
        <v>68</v>
      </c>
      <c r="E462" s="106" t="s">
        <v>68</v>
      </c>
      <c r="F462" s="106">
        <v>5.04</v>
      </c>
      <c r="G462" s="106" t="s">
        <v>68</v>
      </c>
      <c r="H462" s="106" t="s">
        <v>68</v>
      </c>
      <c r="I462" s="106" t="s">
        <v>68</v>
      </c>
      <c r="J462" s="102">
        <f t="shared" si="51"/>
        <v>5.04</v>
      </c>
      <c r="K462" s="196" t="s">
        <v>68</v>
      </c>
      <c r="L462" s="10"/>
    </row>
    <row r="463" spans="2:12" ht="16.5" thickBot="1" x14ac:dyDescent="0.4">
      <c r="B463" s="193"/>
      <c r="C463" s="186" t="s">
        <v>54</v>
      </c>
      <c r="D463" s="200">
        <f>SUM(D459:D462)</f>
        <v>3801.587999999997</v>
      </c>
      <c r="E463" s="185">
        <f t="shared" ref="E463:I463" si="52">SUM(E459:E462)</f>
        <v>47219</v>
      </c>
      <c r="F463" s="185">
        <f t="shared" si="52"/>
        <v>3965.5625</v>
      </c>
      <c r="G463" s="200">
        <f t="shared" si="52"/>
        <v>274.61490000000003</v>
      </c>
      <c r="H463" s="185">
        <f t="shared" si="52"/>
        <v>35056.199999999997</v>
      </c>
      <c r="I463" s="185">
        <f t="shared" si="52"/>
        <v>1633.2735</v>
      </c>
      <c r="J463" s="185">
        <f t="shared" si="51"/>
        <v>91950.238899999982</v>
      </c>
      <c r="K463" s="187">
        <f>SUM(K459:K462)</f>
        <v>290</v>
      </c>
    </row>
    <row r="464" spans="2:12" ht="17.5" x14ac:dyDescent="0.45">
      <c r="B464" s="28"/>
      <c r="C464" s="28"/>
      <c r="D464" s="20"/>
      <c r="E464" s="20"/>
      <c r="F464" s="20"/>
      <c r="G464" s="20"/>
      <c r="H464" s="20"/>
      <c r="I464" s="20"/>
      <c r="J464" s="20"/>
      <c r="K464" s="20"/>
    </row>
    <row r="465" spans="2:13" s="601" customFormat="1" ht="17.5" x14ac:dyDescent="0.45">
      <c r="B465" s="657" t="s">
        <v>30</v>
      </c>
      <c r="C465" s="657"/>
      <c r="D465" s="604"/>
      <c r="E465" s="604"/>
      <c r="F465" s="604"/>
      <c r="G465" s="604"/>
      <c r="H465" s="604"/>
      <c r="I465" s="604"/>
      <c r="J465" s="604"/>
      <c r="K465" s="604"/>
      <c r="L465" s="658"/>
    </row>
    <row r="466" spans="2:13" ht="6" customHeight="1" thickBot="1" x14ac:dyDescent="0.5">
      <c r="B466" s="19"/>
      <c r="C466" s="19"/>
      <c r="D466" s="20"/>
      <c r="E466" s="10"/>
      <c r="F466" s="20"/>
      <c r="G466" s="20"/>
      <c r="H466" s="20"/>
      <c r="I466" s="20"/>
      <c r="J466" s="20"/>
      <c r="K466" s="20"/>
    </row>
    <row r="467" spans="2:13" ht="32" x14ac:dyDescent="0.45">
      <c r="B467" s="876" t="s">
        <v>75</v>
      </c>
      <c r="C467" s="876" t="s">
        <v>43</v>
      </c>
      <c r="D467" s="876" t="s">
        <v>44</v>
      </c>
      <c r="E467" s="876" t="s">
        <v>45</v>
      </c>
      <c r="F467" s="876" t="s">
        <v>46</v>
      </c>
      <c r="G467" s="876" t="s">
        <v>47</v>
      </c>
      <c r="H467" s="876" t="s">
        <v>48</v>
      </c>
      <c r="I467" s="876" t="s">
        <v>49</v>
      </c>
      <c r="J467" s="876" t="s">
        <v>50</v>
      </c>
      <c r="K467" s="20"/>
      <c r="L467" s="20"/>
      <c r="M467" s="20"/>
    </row>
    <row r="468" spans="2:13" ht="17.5" x14ac:dyDescent="0.45">
      <c r="B468" s="22" t="s">
        <v>77</v>
      </c>
      <c r="C468" s="430" t="s">
        <v>89</v>
      </c>
      <c r="D468" s="430" t="s">
        <v>89</v>
      </c>
      <c r="E468" s="430" t="s">
        <v>89</v>
      </c>
      <c r="F468" s="430">
        <v>0</v>
      </c>
      <c r="G468" s="430" t="s">
        <v>89</v>
      </c>
      <c r="H468" s="133">
        <v>14119.254999999999</v>
      </c>
      <c r="I468" s="23">
        <v>15690</v>
      </c>
      <c r="J468" s="23">
        <v>13587</v>
      </c>
      <c r="K468" s="20"/>
      <c r="L468" s="20"/>
      <c r="M468" s="20"/>
    </row>
    <row r="469" spans="2:13" ht="17.5" x14ac:dyDescent="0.45">
      <c r="B469" s="22" t="s">
        <v>79</v>
      </c>
      <c r="C469" s="846">
        <v>4968</v>
      </c>
      <c r="D469" s="376">
        <v>5513</v>
      </c>
      <c r="E469" s="376">
        <f>1367+4279+327</f>
        <v>5973</v>
      </c>
      <c r="F469" s="376">
        <f>1367+4279+327</f>
        <v>5973</v>
      </c>
      <c r="G469" s="376">
        <v>4564</v>
      </c>
      <c r="H469" s="133">
        <v>4564.4409999999998</v>
      </c>
      <c r="I469" s="23">
        <f>7533+1235</f>
        <v>8768</v>
      </c>
      <c r="J469" s="23">
        <f>13402.8+28</f>
        <v>13430.8</v>
      </c>
      <c r="K469" s="20"/>
      <c r="L469" s="20"/>
      <c r="M469" s="20"/>
    </row>
    <row r="470" spans="2:13" ht="18" thickBot="1" x14ac:dyDescent="0.5">
      <c r="B470" s="24" t="s">
        <v>54</v>
      </c>
      <c r="C470" s="134">
        <f>SUM(C468:C469)</f>
        <v>4968</v>
      </c>
      <c r="D470" s="134">
        <f>SUM(D468:D469)</f>
        <v>5513</v>
      </c>
      <c r="E470" s="134">
        <f>SUM(E468:E469)</f>
        <v>5973</v>
      </c>
      <c r="F470" s="134">
        <f>SUM(F468:F469)</f>
        <v>5973</v>
      </c>
      <c r="G470" s="134">
        <v>4564</v>
      </c>
      <c r="H470" s="134">
        <f>SUM(H468:H469)</f>
        <v>18683.696</v>
      </c>
      <c r="I470" s="134">
        <f>SUM(I468:I469)</f>
        <v>24458</v>
      </c>
      <c r="J470" s="134">
        <f>SUM(J468:J469)</f>
        <v>27017.8</v>
      </c>
      <c r="K470" s="20"/>
      <c r="L470" s="20"/>
      <c r="M470" s="20"/>
    </row>
    <row r="471" spans="2:13" x14ac:dyDescent="0.35">
      <c r="B471" s="3"/>
      <c r="C471" s="5"/>
      <c r="D471" s="1"/>
      <c r="E471" s="1"/>
      <c r="F471" s="1"/>
      <c r="G471" s="1"/>
      <c r="H471" s="1"/>
      <c r="I471" s="1"/>
      <c r="J471" s="1"/>
    </row>
    <row r="472" spans="2:13" s="601" customFormat="1" ht="21" x14ac:dyDescent="0.45">
      <c r="B472" s="659" t="s">
        <v>32</v>
      </c>
      <c r="C472" s="659"/>
      <c r="D472" s="604"/>
      <c r="E472" s="604"/>
      <c r="F472" s="604"/>
      <c r="G472" s="604"/>
      <c r="H472" s="604"/>
      <c r="I472" s="604"/>
      <c r="J472" s="604"/>
      <c r="K472" s="604"/>
      <c r="L472" s="658"/>
    </row>
    <row r="473" spans="2:13" ht="17.5" x14ac:dyDescent="0.45">
      <c r="B473" s="3"/>
      <c r="C473" s="5"/>
      <c r="D473" s="1"/>
      <c r="E473" s="1"/>
      <c r="F473" s="1"/>
      <c r="G473" s="1"/>
      <c r="H473" s="1"/>
      <c r="I473" s="1"/>
      <c r="J473" s="1"/>
      <c r="L473" s="10"/>
    </row>
    <row r="474" spans="2:13" s="601" customFormat="1" ht="17.5" x14ac:dyDescent="0.45">
      <c r="B474" s="817" t="s">
        <v>170</v>
      </c>
      <c r="C474" s="657"/>
      <c r="D474" s="604"/>
      <c r="E474" s="604"/>
      <c r="F474" s="604"/>
      <c r="G474" s="604"/>
      <c r="H474" s="604"/>
      <c r="I474" s="604"/>
      <c r="J474" s="604"/>
      <c r="K474" s="604"/>
      <c r="L474" s="658"/>
    </row>
    <row r="475" spans="2:13" ht="8.15" customHeight="1" x14ac:dyDescent="0.35">
      <c r="H475" s="1"/>
      <c r="I475" s="1"/>
      <c r="J475" s="1"/>
    </row>
    <row r="476" spans="2:13" ht="32.15" customHeight="1" x14ac:dyDescent="0.35">
      <c r="B476" s="662" t="s">
        <v>56</v>
      </c>
      <c r="C476" s="662" t="s">
        <v>171</v>
      </c>
      <c r="F476" s="1"/>
      <c r="G476" s="1"/>
      <c r="H476" s="1"/>
    </row>
    <row r="477" spans="2:13" ht="16.5" x14ac:dyDescent="0.45">
      <c r="B477" s="808" t="s">
        <v>43</v>
      </c>
      <c r="C477" s="805">
        <v>18667</v>
      </c>
      <c r="F477" s="1"/>
      <c r="G477" s="1"/>
      <c r="H477" s="1"/>
    </row>
    <row r="478" spans="2:13" ht="16.5" x14ac:dyDescent="0.45">
      <c r="B478" s="808" t="s">
        <v>44</v>
      </c>
      <c r="C478" s="866" t="s">
        <v>172</v>
      </c>
      <c r="F478" s="1"/>
      <c r="G478" s="1"/>
      <c r="H478" s="1"/>
    </row>
    <row r="479" spans="2:13" ht="16.5" x14ac:dyDescent="0.45">
      <c r="B479" s="808" t="s">
        <v>45</v>
      </c>
      <c r="C479" s="805">
        <f>8521+2041</f>
        <v>10562</v>
      </c>
      <c r="F479" s="1"/>
      <c r="G479" s="1"/>
      <c r="H479" s="1"/>
    </row>
    <row r="480" spans="2:13" ht="16.5" x14ac:dyDescent="0.45">
      <c r="B480" s="809" t="s">
        <v>46</v>
      </c>
      <c r="C480" s="806">
        <f>8521+2041</f>
        <v>10562</v>
      </c>
      <c r="F480" s="1"/>
      <c r="G480" s="1"/>
      <c r="H480" s="1"/>
    </row>
    <row r="481" spans="2:13" x14ac:dyDescent="0.35">
      <c r="H481" s="1"/>
      <c r="I481" s="1"/>
      <c r="J481" s="1"/>
      <c r="L481" s="208"/>
      <c r="M481" s="208"/>
    </row>
    <row r="482" spans="2:13" s="601" customFormat="1" ht="17.5" x14ac:dyDescent="0.45">
      <c r="B482" s="817" t="s">
        <v>173</v>
      </c>
      <c r="C482" s="657"/>
      <c r="D482" s="604"/>
      <c r="E482" s="604"/>
      <c r="F482" s="604"/>
      <c r="G482" s="604"/>
      <c r="H482" s="604"/>
      <c r="I482" s="604"/>
      <c r="J482" s="604"/>
      <c r="K482" s="604"/>
      <c r="L482" s="658"/>
    </row>
    <row r="483" spans="2:13" ht="6" customHeight="1" thickBot="1" x14ac:dyDescent="0.4">
      <c r="H483" s="1"/>
      <c r="I483" s="1"/>
      <c r="J483" s="1"/>
      <c r="L483" s="208"/>
      <c r="M483" s="208"/>
    </row>
    <row r="484" spans="2:13" ht="48" x14ac:dyDescent="0.35">
      <c r="B484" s="818" t="s">
        <v>174</v>
      </c>
      <c r="C484" s="662" t="s">
        <v>57</v>
      </c>
      <c r="D484" s="662" t="s">
        <v>175</v>
      </c>
      <c r="E484" s="662" t="s">
        <v>176</v>
      </c>
      <c r="F484" s="662" t="s">
        <v>177</v>
      </c>
      <c r="H484" s="1"/>
      <c r="I484" s="1"/>
      <c r="J484" s="1"/>
      <c r="L484" s="208"/>
      <c r="M484" s="208"/>
    </row>
    <row r="485" spans="2:13" ht="16.5" x14ac:dyDescent="0.45">
      <c r="B485" s="803" t="s">
        <v>43</v>
      </c>
      <c r="C485" s="792" t="s">
        <v>73</v>
      </c>
      <c r="D485" s="793">
        <f>D486+D487</f>
        <v>25636.158000000003</v>
      </c>
      <c r="E485" s="793">
        <f>E486+E487</f>
        <v>7827.9</v>
      </c>
      <c r="F485" s="793">
        <f>F486+F487</f>
        <v>0</v>
      </c>
      <c r="H485" s="1"/>
      <c r="I485" s="1"/>
      <c r="J485" s="1"/>
      <c r="L485" s="208"/>
      <c r="M485" s="208"/>
    </row>
    <row r="486" spans="2:13" ht="16.5" x14ac:dyDescent="0.45">
      <c r="B486" s="803"/>
      <c r="C486" s="794" t="s">
        <v>178</v>
      </c>
      <c r="D486" s="795">
        <v>17236.076000000001</v>
      </c>
      <c r="E486" s="795">
        <v>6540.2</v>
      </c>
      <c r="F486" s="795">
        <v>0</v>
      </c>
      <c r="H486" s="1"/>
      <c r="I486" s="1"/>
      <c r="J486" s="1"/>
      <c r="L486" s="208"/>
      <c r="M486" s="208"/>
    </row>
    <row r="487" spans="2:13" ht="16.5" x14ac:dyDescent="0.45">
      <c r="B487" s="803"/>
      <c r="C487" s="794" t="s">
        <v>179</v>
      </c>
      <c r="D487" s="795">
        <v>8400.0820000000003</v>
      </c>
      <c r="E487" s="795">
        <v>1287.7</v>
      </c>
      <c r="F487" s="795">
        <v>0</v>
      </c>
      <c r="H487" s="1"/>
      <c r="I487" s="1"/>
      <c r="J487" s="1"/>
      <c r="L487" s="208"/>
      <c r="M487" s="208"/>
    </row>
    <row r="488" spans="2:13" ht="16.5" x14ac:dyDescent="0.45">
      <c r="B488" s="803"/>
      <c r="C488" s="794" t="s">
        <v>180</v>
      </c>
      <c r="D488" s="795">
        <v>8749</v>
      </c>
      <c r="E488" s="795">
        <v>8713.1</v>
      </c>
      <c r="F488" s="795">
        <v>756</v>
      </c>
      <c r="H488" s="1"/>
      <c r="I488" s="1"/>
      <c r="J488" s="1"/>
      <c r="L488" s="208"/>
      <c r="M488" s="208"/>
    </row>
    <row r="489" spans="2:13" ht="16.5" x14ac:dyDescent="0.45">
      <c r="B489" s="803"/>
      <c r="C489" s="794" t="s">
        <v>181</v>
      </c>
      <c r="D489" s="795">
        <v>729.298</v>
      </c>
      <c r="E489" s="795">
        <v>86.2</v>
      </c>
      <c r="F489" s="795">
        <v>0</v>
      </c>
      <c r="H489" s="1"/>
      <c r="I489" s="1"/>
      <c r="J489" s="1"/>
      <c r="L489" s="208"/>
      <c r="M489" s="208"/>
    </row>
    <row r="490" spans="2:13" ht="16.5" x14ac:dyDescent="0.45">
      <c r="B490" s="803"/>
      <c r="C490" s="794" t="s">
        <v>182</v>
      </c>
      <c r="D490" s="795">
        <v>667.97199999999998</v>
      </c>
      <c r="E490" s="795">
        <v>197.1</v>
      </c>
      <c r="F490" s="795">
        <v>0</v>
      </c>
      <c r="H490" s="1"/>
      <c r="I490" s="1"/>
      <c r="J490" s="1"/>
      <c r="L490" s="208"/>
      <c r="M490" s="208"/>
    </row>
    <row r="491" spans="2:13" ht="16.5" x14ac:dyDescent="0.45">
      <c r="B491" s="803"/>
      <c r="C491" s="794" t="s">
        <v>183</v>
      </c>
      <c r="D491" s="795">
        <v>451.44200000000001</v>
      </c>
      <c r="E491" s="795">
        <v>236.4</v>
      </c>
      <c r="F491" s="791">
        <v>0</v>
      </c>
      <c r="H491" s="1"/>
      <c r="I491" s="1"/>
      <c r="J491" s="1"/>
      <c r="L491" s="208"/>
      <c r="M491" s="208"/>
    </row>
    <row r="492" spans="2:13" ht="16.5" x14ac:dyDescent="0.45">
      <c r="B492" s="803"/>
      <c r="C492" s="794" t="s">
        <v>184</v>
      </c>
      <c r="D492" s="795">
        <v>372.28100000000001</v>
      </c>
      <c r="E492" s="795">
        <v>155</v>
      </c>
      <c r="F492" s="791">
        <v>0</v>
      </c>
      <c r="H492" s="1"/>
      <c r="I492" s="1"/>
      <c r="J492" s="1"/>
      <c r="L492" s="208"/>
      <c r="M492" s="208"/>
    </row>
    <row r="493" spans="2:13" ht="16.5" x14ac:dyDescent="0.45">
      <c r="B493" s="803"/>
      <c r="C493" s="794" t="s">
        <v>185</v>
      </c>
      <c r="D493" s="795">
        <v>0</v>
      </c>
      <c r="E493" s="795">
        <v>0</v>
      </c>
      <c r="F493" s="791">
        <v>62</v>
      </c>
      <c r="H493" s="1"/>
      <c r="I493" s="1"/>
      <c r="J493" s="1"/>
      <c r="L493" s="208"/>
      <c r="M493" s="208"/>
    </row>
    <row r="494" spans="2:13" ht="16.5" x14ac:dyDescent="0.45">
      <c r="B494" s="803"/>
      <c r="C494" s="794" t="s">
        <v>186</v>
      </c>
      <c r="D494" s="795">
        <v>0</v>
      </c>
      <c r="E494" s="795">
        <v>0</v>
      </c>
      <c r="F494" s="791">
        <v>720</v>
      </c>
      <c r="H494" s="1"/>
      <c r="I494" s="1"/>
      <c r="J494" s="1"/>
      <c r="L494" s="208"/>
      <c r="M494" s="208"/>
    </row>
    <row r="495" spans="2:13" ht="16.5" x14ac:dyDescent="0.45">
      <c r="B495" s="803"/>
      <c r="C495" s="794" t="s">
        <v>187</v>
      </c>
      <c r="D495" s="795">
        <v>0</v>
      </c>
      <c r="E495" s="795">
        <v>0</v>
      </c>
      <c r="F495" s="791">
        <v>10477</v>
      </c>
      <c r="H495" s="1"/>
      <c r="I495" s="1"/>
      <c r="J495" s="1"/>
      <c r="L495" s="208"/>
      <c r="M495" s="208"/>
    </row>
    <row r="496" spans="2:13" ht="16.5" x14ac:dyDescent="0.45">
      <c r="B496" s="803"/>
      <c r="C496" s="794" t="s">
        <v>188</v>
      </c>
      <c r="D496" s="795">
        <v>0</v>
      </c>
      <c r="E496" s="795">
        <v>0</v>
      </c>
      <c r="F496" s="791">
        <v>138</v>
      </c>
      <c r="H496" s="1"/>
      <c r="I496" s="1"/>
      <c r="J496" s="1"/>
      <c r="L496" s="208"/>
      <c r="M496" s="208"/>
    </row>
    <row r="497" spans="2:13" ht="16.5" x14ac:dyDescent="0.45">
      <c r="B497" s="803"/>
      <c r="C497" s="794" t="s">
        <v>189</v>
      </c>
      <c r="D497" s="795">
        <v>1195.4639999999999</v>
      </c>
      <c r="E497" s="795">
        <v>669</v>
      </c>
      <c r="F497" s="791">
        <v>799</v>
      </c>
      <c r="H497" s="1"/>
      <c r="I497" s="1"/>
      <c r="J497" s="1"/>
      <c r="L497" s="208"/>
      <c r="M497" s="208"/>
    </row>
    <row r="498" spans="2:13" ht="17" thickBot="1" x14ac:dyDescent="0.5">
      <c r="B498" s="722"/>
      <c r="C498" s="796" t="s">
        <v>80</v>
      </c>
      <c r="D498" s="797">
        <f>SUM(D486:D497)</f>
        <v>37801.615000000013</v>
      </c>
      <c r="E498" s="797">
        <f>SUM(E486:E497)</f>
        <v>17884.7</v>
      </c>
      <c r="F498" s="797">
        <f>SUM(F486:F497)</f>
        <v>12952</v>
      </c>
      <c r="H498" s="1"/>
      <c r="I498" s="1"/>
      <c r="J498" s="1"/>
      <c r="L498" s="208"/>
      <c r="M498" s="208"/>
    </row>
    <row r="499" spans="2:13" ht="16.5" x14ac:dyDescent="0.45">
      <c r="B499" s="803" t="s">
        <v>44</v>
      </c>
      <c r="C499" s="792" t="s">
        <v>73</v>
      </c>
      <c r="D499" s="798">
        <f>SUM(D500:D501)</f>
        <v>26859</v>
      </c>
      <c r="E499" s="799">
        <f t="shared" ref="E499" si="53">SUM(E500:E501)</f>
        <v>8958</v>
      </c>
      <c r="F499" s="813">
        <v>0</v>
      </c>
      <c r="H499" s="1"/>
      <c r="I499" s="1"/>
      <c r="J499" s="1"/>
      <c r="L499" s="208"/>
      <c r="M499" s="208"/>
    </row>
    <row r="500" spans="2:13" ht="16.5" x14ac:dyDescent="0.45">
      <c r="B500" s="803"/>
      <c r="C500" s="794" t="s">
        <v>178</v>
      </c>
      <c r="D500" s="800">
        <v>18711</v>
      </c>
      <c r="E500" s="801">
        <v>7568</v>
      </c>
      <c r="F500" s="814">
        <v>0</v>
      </c>
      <c r="G500" s="845"/>
      <c r="H500" s="1"/>
      <c r="I500" s="1"/>
      <c r="J500" s="1"/>
      <c r="L500" s="208"/>
      <c r="M500" s="208"/>
    </row>
    <row r="501" spans="2:13" ht="16.5" x14ac:dyDescent="0.45">
      <c r="B501" s="803"/>
      <c r="C501" s="794" t="s">
        <v>179</v>
      </c>
      <c r="D501" s="800">
        <v>8148</v>
      </c>
      <c r="E501" s="801">
        <v>1390</v>
      </c>
      <c r="F501" s="814">
        <v>0</v>
      </c>
      <c r="G501" s="845"/>
      <c r="H501" s="1"/>
      <c r="I501" s="1"/>
      <c r="J501" s="1"/>
      <c r="L501" s="208"/>
      <c r="M501" s="208"/>
    </row>
    <row r="502" spans="2:13" ht="16.5" x14ac:dyDescent="0.45">
      <c r="B502" s="803"/>
      <c r="C502" s="794" t="s">
        <v>180</v>
      </c>
      <c r="D502" s="800">
        <v>5557</v>
      </c>
      <c r="E502" s="801">
        <v>5890</v>
      </c>
      <c r="F502" s="814">
        <v>0</v>
      </c>
      <c r="G502" s="845"/>
      <c r="H502" s="1"/>
      <c r="I502" s="1"/>
      <c r="J502" s="1"/>
      <c r="L502" s="208"/>
      <c r="M502" s="208"/>
    </row>
    <row r="503" spans="2:13" ht="16.5" x14ac:dyDescent="0.45">
      <c r="B503" s="803"/>
      <c r="C503" s="794" t="s">
        <v>187</v>
      </c>
      <c r="D503" s="800">
        <v>0</v>
      </c>
      <c r="E503" s="804">
        <v>0</v>
      </c>
      <c r="F503" s="815">
        <v>0</v>
      </c>
      <c r="G503" s="845"/>
      <c r="H503" s="1"/>
      <c r="I503" s="1"/>
      <c r="J503" s="1"/>
      <c r="L503" s="208"/>
      <c r="M503" s="208"/>
    </row>
    <row r="504" spans="2:13" ht="17" thickBot="1" x14ac:dyDescent="0.5">
      <c r="B504" s="722"/>
      <c r="C504" s="796" t="s">
        <v>80</v>
      </c>
      <c r="D504" s="797">
        <f>SUM(D500:D503)</f>
        <v>32416</v>
      </c>
      <c r="E504" s="802">
        <f t="shared" ref="E504" si="54">SUM(E500:E503)</f>
        <v>14848</v>
      </c>
      <c r="F504" s="816">
        <v>0</v>
      </c>
      <c r="H504" s="1"/>
      <c r="I504" s="1"/>
      <c r="J504" s="1"/>
      <c r="L504" s="208"/>
      <c r="M504" s="208"/>
    </row>
    <row r="505" spans="2:13" ht="16.5" x14ac:dyDescent="0.45">
      <c r="B505" s="803" t="s">
        <v>61</v>
      </c>
      <c r="C505" s="792" t="s">
        <v>73</v>
      </c>
      <c r="D505" s="798">
        <f>SUM(D506:D507)</f>
        <v>26612.826000000001</v>
      </c>
      <c r="E505" s="799">
        <f>SUM(E506:E507)</f>
        <v>10562</v>
      </c>
      <c r="F505" s="813">
        <v>0</v>
      </c>
      <c r="G505" s="845"/>
      <c r="H505" s="1"/>
      <c r="I505" s="1"/>
      <c r="J505" s="1"/>
    </row>
    <row r="506" spans="2:13" ht="16.5" x14ac:dyDescent="0.45">
      <c r="B506" s="803" t="s">
        <v>62</v>
      </c>
      <c r="C506" s="794" t="s">
        <v>178</v>
      </c>
      <c r="D506" s="800">
        <v>18399</v>
      </c>
      <c r="E506" s="801">
        <v>8521</v>
      </c>
      <c r="F506" s="814">
        <v>0</v>
      </c>
      <c r="G506" s="845"/>
      <c r="H506" s="1"/>
      <c r="I506" s="1"/>
      <c r="J506" s="1"/>
    </row>
    <row r="507" spans="2:13" ht="16.5" x14ac:dyDescent="0.45">
      <c r="B507" s="803"/>
      <c r="C507" s="794" t="s">
        <v>179</v>
      </c>
      <c r="D507" s="800">
        <v>8213.8259999999991</v>
      </c>
      <c r="E507" s="801">
        <v>2041</v>
      </c>
      <c r="F507" s="814">
        <v>0</v>
      </c>
      <c r="G507" s="845"/>
      <c r="H507" s="1"/>
      <c r="I507" s="1"/>
      <c r="J507" s="1"/>
    </row>
    <row r="508" spans="2:13" ht="16.5" x14ac:dyDescent="0.45">
      <c r="B508" s="803"/>
      <c r="C508" s="794" t="s">
        <v>180</v>
      </c>
      <c r="D508" s="800">
        <v>0</v>
      </c>
      <c r="E508" s="804">
        <v>0</v>
      </c>
      <c r="F508" s="815">
        <v>0</v>
      </c>
      <c r="G508" s="845"/>
      <c r="H508" s="1"/>
      <c r="I508" s="1"/>
      <c r="J508" s="1"/>
    </row>
    <row r="509" spans="2:13" ht="16.5" x14ac:dyDescent="0.45">
      <c r="B509" s="803"/>
      <c r="C509" s="794" t="s">
        <v>187</v>
      </c>
      <c r="D509" s="800">
        <v>0</v>
      </c>
      <c r="E509" s="804">
        <v>0</v>
      </c>
      <c r="F509" s="815">
        <v>0</v>
      </c>
      <c r="G509" s="845"/>
      <c r="H509" s="1"/>
      <c r="I509" s="1"/>
      <c r="J509" s="1"/>
    </row>
    <row r="510" spans="2:13" ht="17" thickBot="1" x14ac:dyDescent="0.5">
      <c r="B510" s="722"/>
      <c r="C510" s="796" t="s">
        <v>80</v>
      </c>
      <c r="D510" s="797">
        <f>SUM(D506:D509)</f>
        <v>26612.826000000001</v>
      </c>
      <c r="E510" s="802">
        <f>SUM(E506:E509)</f>
        <v>10562</v>
      </c>
      <c r="F510" s="816">
        <v>0</v>
      </c>
      <c r="H510" s="1"/>
      <c r="I510" s="1"/>
      <c r="J510" s="1"/>
    </row>
    <row r="511" spans="2:13" x14ac:dyDescent="0.35">
      <c r="B511" s="675"/>
      <c r="C511" s="676"/>
      <c r="D511" s="677"/>
      <c r="E511" s="678"/>
      <c r="F511" s="677"/>
      <c r="H511" s="1"/>
      <c r="I511" s="1"/>
      <c r="J511" s="1"/>
    </row>
    <row r="512" spans="2:13" s="601" customFormat="1" ht="17.5" x14ac:dyDescent="0.45">
      <c r="B512" s="657" t="s">
        <v>37</v>
      </c>
      <c r="C512" s="657"/>
      <c r="D512" s="604"/>
      <c r="E512" s="604"/>
      <c r="F512" s="604"/>
      <c r="G512" s="604"/>
      <c r="H512" s="604"/>
      <c r="I512" s="604"/>
      <c r="J512" s="604"/>
      <c r="K512" s="604"/>
      <c r="L512" s="658"/>
    </row>
    <row r="513" spans="2:13" s="208" customFormat="1" ht="6" customHeight="1" x14ac:dyDescent="0.45">
      <c r="B513" s="781"/>
      <c r="C513" s="782"/>
      <c r="D513" s="783"/>
      <c r="E513" s="783"/>
      <c r="F513" s="783"/>
      <c r="G513" s="783"/>
      <c r="H513" s="783"/>
      <c r="I513" s="783"/>
      <c r="J513" s="783"/>
      <c r="K513" s="783"/>
      <c r="L513" s="784"/>
    </row>
    <row r="514" spans="2:13" s="208" customFormat="1" ht="64" x14ac:dyDescent="0.45">
      <c r="B514" s="818" t="s">
        <v>174</v>
      </c>
      <c r="C514" s="662" t="s">
        <v>57</v>
      </c>
      <c r="D514" s="662" t="s">
        <v>177</v>
      </c>
      <c r="E514" s="783"/>
      <c r="F514" s="783"/>
      <c r="I514" s="783"/>
      <c r="J514" s="783"/>
      <c r="K514" s="783"/>
      <c r="L514" s="784"/>
    </row>
    <row r="515" spans="2:13" ht="16.5" x14ac:dyDescent="0.45">
      <c r="B515" s="722" t="s">
        <v>43</v>
      </c>
      <c r="C515" s="796" t="s">
        <v>80</v>
      </c>
      <c r="D515" s="797">
        <v>29414</v>
      </c>
      <c r="F515" s="1"/>
      <c r="I515" s="1"/>
      <c r="J515" s="1"/>
    </row>
    <row r="516" spans="2:13" x14ac:dyDescent="0.35">
      <c r="B516" s="675"/>
      <c r="C516" s="676"/>
      <c r="D516" s="677"/>
      <c r="E516" s="678"/>
      <c r="F516" s="677"/>
      <c r="H516" s="1"/>
      <c r="I516" s="1"/>
      <c r="J516" s="1"/>
    </row>
    <row r="517" spans="2:13" s="601" customFormat="1" ht="21" x14ac:dyDescent="0.45">
      <c r="B517" s="659" t="s">
        <v>190</v>
      </c>
      <c r="C517" s="659"/>
      <c r="D517" s="604"/>
      <c r="E517" s="604"/>
      <c r="F517" s="604"/>
      <c r="G517" s="604"/>
      <c r="H517" s="604"/>
      <c r="I517" s="604"/>
      <c r="J517" s="604"/>
      <c r="K517" s="604"/>
      <c r="L517" s="604"/>
      <c r="M517" s="604"/>
    </row>
    <row r="518" spans="2:13" ht="6.65" customHeight="1" x14ac:dyDescent="0.35">
      <c r="B518" s="675"/>
      <c r="C518" s="676"/>
      <c r="D518" s="677"/>
      <c r="E518" s="678"/>
      <c r="F518" s="677"/>
      <c r="H518" s="1"/>
      <c r="I518" s="1"/>
      <c r="J518" s="1"/>
    </row>
    <row r="519" spans="2:13" ht="93.65" customHeight="1" x14ac:dyDescent="0.35">
      <c r="B519" s="662" t="s">
        <v>56</v>
      </c>
      <c r="C519" s="662" t="s">
        <v>43</v>
      </c>
      <c r="H519" s="1"/>
      <c r="I519" s="1"/>
      <c r="J519" s="1"/>
    </row>
    <row r="520" spans="2:13" ht="48" customHeight="1" x14ac:dyDescent="0.35">
      <c r="B520" s="745" t="s">
        <v>191</v>
      </c>
      <c r="C520" s="746">
        <v>3212495</v>
      </c>
      <c r="F520" s="677"/>
      <c r="H520" s="1"/>
      <c r="I520" s="1"/>
      <c r="J520" s="1"/>
    </row>
    <row r="521" spans="2:13" ht="16" x14ac:dyDescent="0.35">
      <c r="B521" s="745" t="s">
        <v>192</v>
      </c>
      <c r="C521" s="746">
        <v>66944</v>
      </c>
      <c r="D521" s="677"/>
      <c r="E521" s="678"/>
      <c r="F521" s="677"/>
      <c r="H521" s="1"/>
      <c r="I521" s="1"/>
      <c r="J521" s="1"/>
    </row>
    <row r="522" spans="2:13" ht="16" x14ac:dyDescent="0.35">
      <c r="B522" s="747" t="s">
        <v>193</v>
      </c>
      <c r="C522" s="748">
        <v>34903981</v>
      </c>
      <c r="D522" s="677"/>
      <c r="E522" s="678"/>
      <c r="F522" s="677"/>
      <c r="H522" s="1"/>
      <c r="I522" s="1"/>
      <c r="J522" s="1"/>
    </row>
    <row r="523" spans="2:13" x14ac:dyDescent="0.35">
      <c r="E523" s="678"/>
      <c r="F523" s="677"/>
      <c r="H523" s="1"/>
      <c r="I523" s="1"/>
      <c r="J523" s="1"/>
    </row>
    <row r="524" spans="2:13" s="601" customFormat="1" ht="21" x14ac:dyDescent="0.45">
      <c r="B524" s="659" t="s">
        <v>39</v>
      </c>
      <c r="C524" s="659"/>
      <c r="D524" s="604"/>
      <c r="E524" s="604"/>
      <c r="F524" s="604"/>
      <c r="G524" s="604"/>
      <c r="H524" s="604"/>
      <c r="I524" s="604"/>
      <c r="J524" s="604"/>
      <c r="K524" s="604"/>
      <c r="L524" s="604"/>
      <c r="M524" s="604"/>
    </row>
    <row r="525" spans="2:13" ht="16.5" x14ac:dyDescent="0.45">
      <c r="B525" s="293" t="s">
        <v>194</v>
      </c>
    </row>
    <row r="526" spans="2:13" ht="16.5" x14ac:dyDescent="0.45">
      <c r="B526" s="292" t="s">
        <v>195</v>
      </c>
    </row>
    <row r="527" spans="2:13" ht="16.5" x14ac:dyDescent="0.45">
      <c r="B527" s="293" t="s">
        <v>196</v>
      </c>
    </row>
    <row r="528" spans="2:13" ht="16.5" x14ac:dyDescent="0.45">
      <c r="B528" s="292" t="s">
        <v>197</v>
      </c>
    </row>
    <row r="529" spans="2:2" ht="16.5" x14ac:dyDescent="0.45">
      <c r="B529" s="292" t="s">
        <v>198</v>
      </c>
    </row>
    <row r="530" spans="2:2" ht="16.5" x14ac:dyDescent="0.45">
      <c r="B530" s="292" t="s">
        <v>199</v>
      </c>
    </row>
    <row r="531" spans="2:2" ht="16.5" x14ac:dyDescent="0.45">
      <c r="B531" s="292" t="s">
        <v>200</v>
      </c>
    </row>
    <row r="532" spans="2:2" ht="16.5" x14ac:dyDescent="0.45">
      <c r="B532" s="292" t="s">
        <v>201</v>
      </c>
    </row>
    <row r="533" spans="2:2" ht="16.5" x14ac:dyDescent="0.45">
      <c r="B533" s="292" t="s">
        <v>202</v>
      </c>
    </row>
    <row r="534" spans="2:2" ht="16.5" x14ac:dyDescent="0.45">
      <c r="B534" s="292" t="s">
        <v>203</v>
      </c>
    </row>
    <row r="535" spans="2:2" ht="16.5" x14ac:dyDescent="0.45">
      <c r="B535" s="292" t="s">
        <v>204</v>
      </c>
    </row>
    <row r="536" spans="2:2" ht="16.5" x14ac:dyDescent="0.45">
      <c r="B536" s="292" t="s">
        <v>205</v>
      </c>
    </row>
    <row r="537" spans="2:2" ht="16.5" x14ac:dyDescent="0.45">
      <c r="B537" s="292" t="s">
        <v>206</v>
      </c>
    </row>
    <row r="538" spans="2:2" ht="16.5" x14ac:dyDescent="0.45">
      <c r="B538" s="292" t="s">
        <v>207</v>
      </c>
    </row>
    <row r="539" spans="2:2" ht="16.5" x14ac:dyDescent="0.45">
      <c r="B539" s="292" t="s">
        <v>208</v>
      </c>
    </row>
    <row r="540" spans="2:2" ht="16.5" x14ac:dyDescent="0.45">
      <c r="B540" s="292" t="s">
        <v>209</v>
      </c>
    </row>
    <row r="541" spans="2:2" ht="16.5" x14ac:dyDescent="0.45">
      <c r="B541" s="779" t="s">
        <v>210</v>
      </c>
    </row>
    <row r="542" spans="2:2" ht="16.5" x14ac:dyDescent="0.45">
      <c r="B542" s="779" t="s">
        <v>211</v>
      </c>
    </row>
    <row r="543" spans="2:2" ht="16.5" x14ac:dyDescent="0.45">
      <c r="B543" s="292" t="s">
        <v>212</v>
      </c>
    </row>
    <row r="544" spans="2:2" ht="16.5" x14ac:dyDescent="0.45">
      <c r="B544" s="292" t="s">
        <v>213</v>
      </c>
    </row>
    <row r="545" spans="2:2" ht="16.5" x14ac:dyDescent="0.45">
      <c r="B545" s="292" t="s">
        <v>214</v>
      </c>
    </row>
    <row r="546" spans="2:2" ht="16.5" x14ac:dyDescent="0.45">
      <c r="B546" s="292" t="s">
        <v>491</v>
      </c>
    </row>
  </sheetData>
  <mergeCells count="35">
    <mergeCell ref="B5:N5"/>
    <mergeCell ref="G89:I89"/>
    <mergeCell ref="G90:I90"/>
    <mergeCell ref="G91:I91"/>
    <mergeCell ref="J237:K237"/>
    <mergeCell ref="H237:I237"/>
    <mergeCell ref="G105:I105"/>
    <mergeCell ref="G106:I106"/>
    <mergeCell ref="G107:I107"/>
    <mergeCell ref="G103:I103"/>
    <mergeCell ref="G97:I97"/>
    <mergeCell ref="G98:I98"/>
    <mergeCell ref="G99:I99"/>
    <mergeCell ref="B425:C425"/>
    <mergeCell ref="G85:I85"/>
    <mergeCell ref="G86:I86"/>
    <mergeCell ref="G87:I87"/>
    <mergeCell ref="H332:I332"/>
    <mergeCell ref="B422:C422"/>
    <mergeCell ref="B423:C423"/>
    <mergeCell ref="B424:C424"/>
    <mergeCell ref="B332:B333"/>
    <mergeCell ref="C332:C333"/>
    <mergeCell ref="D332:E332"/>
    <mergeCell ref="F332:G332"/>
    <mergeCell ref="B237:B238"/>
    <mergeCell ref="B185:B187"/>
    <mergeCell ref="B188:B190"/>
    <mergeCell ref="B315:C315"/>
    <mergeCell ref="C237:C238"/>
    <mergeCell ref="D237:E237"/>
    <mergeCell ref="F237:G237"/>
    <mergeCell ref="G101:I101"/>
    <mergeCell ref="G102:I102"/>
    <mergeCell ref="C135:C136"/>
  </mergeCells>
  <conditionalFormatting sqref="C521">
    <cfRule type="notContainsBlanks" dxfId="2" priority="3">
      <formula>LEN(TRIM(C521))&gt;0</formula>
    </cfRule>
  </conditionalFormatting>
  <conditionalFormatting sqref="C522">
    <cfRule type="notContainsBlanks" dxfId="1" priority="2">
      <formula>LEN(TRIM(C522))&gt;0</formula>
    </cfRule>
  </conditionalFormatting>
  <conditionalFormatting sqref="C520">
    <cfRule type="notContainsBlanks" dxfId="0" priority="1">
      <formula>LEN(TRIM(C520))&gt;0</formula>
    </cfRule>
  </conditionalFormatting>
  <hyperlinks>
    <hyperlink ref="G19" location="PlasticVol" display="Plastic recovered and reused in manufacture of RPCs (metric tonnes)" xr:uid="{00000000-0004-0000-0200-000000000000}"/>
    <hyperlink ref="G25" location="BPFootnote" display="Footnotes" xr:uid="{00000000-0004-0000-0200-000001000000}"/>
    <hyperlink ref="B7" location="NatRes" display="Natural Resources;" xr:uid="{00000000-0004-0000-0200-000002000000}"/>
    <hyperlink ref="B8" location="WoodVol" display="Wood purchased for manufacture and repair of pallets " xr:uid="{00000000-0004-0000-0200-000003000000}"/>
    <hyperlink ref="B9" location="Volume_of_wood_by_classification_and_segment_for_the_Year" display="Volume of wood by classification and segment for the year (%)" xr:uid="{00000000-0004-0000-0200-000004000000}"/>
    <hyperlink ref="B10" location="Wood_volume__m3__by_forest_source_certification" display="Wood volume (m3) by forest source certification" xr:uid="{00000000-0004-0000-0200-000005000000}"/>
    <hyperlink ref="B11" location="Wood_volume_by_continent_of_origin" display="Wood volume by continent of origin (%)" xr:uid="{00000000-0004-0000-0200-000006000000}"/>
    <hyperlink ref="B12" location="Plastic_purchased_for_manufacture_of_RPCs" display="Plastic purchased for manufacture of RPCs" xr:uid="{00000000-0004-0000-0200-000007000000}"/>
    <hyperlink ref="B13" location="Volume_of_plastic__tonnes" display="Volume of plastic (tonnes)" xr:uid="{00000000-0004-0000-0200-000008000000}"/>
    <hyperlink ref="B14" location="Detergent_purchased_for_washing_of_pallets__RPCs_and_containers" display="Detergent purchased for washing of pallets, RPCs and containers" xr:uid="{00000000-0004-0000-0200-000009000000}"/>
    <hyperlink ref="B17" location="Volume_of_detergent__litres" display="Volume of detergent (litres)" xr:uid="{00000000-0004-0000-0200-00000A000000}"/>
    <hyperlink ref="B18" location="Water" display="Water" xr:uid="{00000000-0004-0000-0200-00000B000000}"/>
    <hyperlink ref="B19" location="Water_consumed__megalitres___15" display="Water consumed (megalitres) " xr:uid="{00000000-0004-0000-0200-00000C000000}"/>
    <hyperlink ref="B20" location="Water_recycled__megalitres" display="Water recycled (megalitres)" xr:uid="{00000000-0004-0000-0200-00000D000000}"/>
    <hyperlink ref="B21" location="Water_discharged__megalitres___16" display="Water discharged (megalitres)" xr:uid="{00000000-0004-0000-0200-00000E000000}"/>
    <hyperlink ref="B22" location="Rainwater_harvested__megalitres___16" display="Rainwater harvested (megalitres)" xr:uid="{00000000-0004-0000-0200-00000F000000}"/>
    <hyperlink ref="G7" location="Energy_and_Emissions" display="Energy and Emissions" xr:uid="{00000000-0004-0000-0200-000010000000}"/>
    <hyperlink ref="G8" location="Kilotonnes__kt__of_CO2_e__4___Scope_1_and_2" display="Kilotonnes (kt) of CO2-e [4] (Scope 1 and 2)" xr:uid="{00000000-0004-0000-0200-000011000000}"/>
    <hyperlink ref="G9" location="Terajoules__TJ__of_energy__Scope_1_and_2" display="Terajoules (TJ) of energy (Scope 1 and 2)" xr:uid="{00000000-0004-0000-0200-000012000000}"/>
    <hyperlink ref="G10" location="Emissions_intensity__kg_per_unit" display="Emissions intensity (kg per unit)" xr:uid="{00000000-0004-0000-0200-000013000000}"/>
    <hyperlink ref="G11" location="Greenhouse_gas__GHG__emissions__detail" display="Greenhouse gas (GHG) emissions (detail)" xr:uid="{00000000-0004-0000-0200-000014000000}"/>
    <hyperlink ref="G12" location="GHG_generation_by_source" display="GHG generation by source (%)" xr:uid="{00000000-0004-0000-0200-000015000000}"/>
    <hyperlink ref="G14" location="Greenhouse_gas__GHG__emissions__Scope_3" display="Greenhouse gas (GHG) emissions (Scope 3)" xr:uid="{00000000-0004-0000-0200-000016000000}"/>
    <hyperlink ref="G15" location="Waste_and_recycling" display="Waste, reuse and recycling" xr:uid="{00000000-0004-0000-0200-000017000000}"/>
    <hyperlink ref="G16" location="General_waste__recycling_and_hazardous_waste__metric_tonnes" display="General waste, recycling and hazardous waste (metric tonnes)" xr:uid="{00000000-0004-0000-0200-000018000000}"/>
    <hyperlink ref="G17" location="Wood_reclaimed__Pallets___metric_tonnes" display="Wood reclaimed (Pallets) (metric tonnes)" xr:uid="{00000000-0004-0000-0200-000019000000}"/>
    <hyperlink ref="G18" location="Brambles’_recycling_efforts__excluding_reclaimed___metric_tonnes" display="Brambles’ recycling efforts (excluding reclaimed) (metric tonnes)" xr:uid="{00000000-0004-0000-0200-00001A000000}"/>
    <hyperlink ref="G20" location="Purchase_of_Credits" display="Purchase of Credits" xr:uid="{00000000-0004-0000-0200-000024000000}"/>
    <hyperlink ref="G21" location="Offset_Credits_Purchased___Through_Carbon_Neutral_Pallet_Promotion__8" display="Offset Credits Purchased - Through Carbon Neutral Pallet Promotion [8]" xr:uid="{00000000-0004-0000-0200-000025000000}"/>
    <hyperlink ref="G22" location="Renewable_Energy_Certificate_Credits_Purchased___Covering_Scope_2_emissions__9" display="Renewable Energy Certificate Credits Purchased - Covering Scope 2 emissions [9]" xr:uid="{00000000-0004-0000-0200-000026000000}"/>
    <hyperlink ref="B268" location="FNPP_11" display="(inc IFCO) [11]" xr:uid="{5EB7EDED-659F-487F-A355-5140A8DFFFAA}"/>
    <hyperlink ref="E333" location="FNPP_12" display="TJ [12]" xr:uid="{01846738-B527-4597-A91A-BFF8F39F51D6}"/>
    <hyperlink ref="B217" location="FNPP_16" display="c) Total renewable Energy (wind, solar, biomass etc.) [16]" xr:uid="{F060A558-FF1E-43DC-8902-A332101B4804}"/>
    <hyperlink ref="G24" location="'Better Planet'!B472" display="Reforrestation &amp; Afforestation" xr:uid="{239A36C2-863C-4508-A634-0A25CA537E7D}"/>
    <hyperlink ref="B132" location="FNPP_14" display="Volume of detergent (litres) [14]" xr:uid="{0468082F-F1AF-4B26-88C5-A00B881B53B1}"/>
    <hyperlink ref="B194" location="FNPP_1" display="Kilotonnes (kt) of CO2-e [1] (Scope 1 and 2)" xr:uid="{063569FC-6D4E-4EAD-BA37-285B24D57BD7}"/>
    <hyperlink ref="B15" location="'Better Planet'!B130" display="Volume of Detergent purchased (litres)" xr:uid="{C234C997-B41D-412F-812A-2FC27CFE1D6C}"/>
    <hyperlink ref="B16" location="'Better Planet'!B139" display="Palm Oil Content" xr:uid="{016CE2AB-A1D4-4278-93F7-6DCEE3C174A5}"/>
    <hyperlink ref="B482" location="FNPP_7" display="Renewable Energy Certificate Credits Purchased - Covering Scope 2 emissions [7]" xr:uid="{4416601D-8B15-4A76-8A2A-D79F3F5C7E22}"/>
    <hyperlink ref="G13" location="'Planet Positive'!B292" display="Science Based Targets Scope 3 Emissions (kt-CO2e)" xr:uid="{4E28388D-504B-4041-B8EB-E8926349C0C4}"/>
    <hyperlink ref="G23" location="'Planet Positive'!B489" display="Carbon Credit Offsets Purchased - Covering Scope 1 emissions" xr:uid="{EEE956ED-EB18-4D1C-964D-245E85F60C51}"/>
    <hyperlink ref="J229" location="FNPP_2" display="FY16 [2]" xr:uid="{CABA869B-9378-4279-A3DF-D3EDD00E92E5}"/>
    <hyperlink ref="C277" location="FNPP_4" display="Pallets EMEA [4]" xr:uid="{6703E66F-CC86-4109-B3D4-2C3984C12BE7}"/>
    <hyperlink ref="B232" location="FNPP_5" display="Reported (TEU Intensity) [5]" xr:uid="{597CEB72-5F12-49A2-BC3E-A32DF4900804}"/>
    <hyperlink ref="B474" location="FNPP_6" display="Offset Credits Purchased - Through Carbon Neutral Pallet Promotion [6]" xr:uid="{6450D809-157B-4861-B178-CA6A71EBC4F6}"/>
    <hyperlink ref="B484" location="FNPP_8" display="Year [8]" xr:uid="{AB183E8E-C3A1-4D7D-B4F1-347C2C4A177F}"/>
    <hyperlink ref="B514" location="FNPP_8" display="Year [8]" xr:uid="{5E7B083F-F1A9-42EC-A0FE-D208B2A3AD2E}"/>
    <hyperlink ref="H237:I237" location="FNPP_9" display="Scope 2 Location Based [9]" xr:uid="{C1DF099E-4828-43F0-AC4F-0B2F13E3C114}"/>
    <hyperlink ref="J237:K237" location="FNPP_10" display="Scope 2 &quot;Market Based&quot; [10]" xr:uid="{9DA6B3FD-2FBE-4844-8D1A-E9475F979613}"/>
    <hyperlink ref="B214" location="FNPP_15" display="Energy split [15]" xr:uid="{32AB1797-6740-4D5D-A51D-26C09D7B2367}"/>
    <hyperlink ref="C345" location="FNPP_3" display="Pallets – outsourced service centres [3]" xr:uid="{2BF77934-5BC1-48B1-9B64-7ADBCF4F6940}"/>
    <hyperlink ref="C340" location="FNPP_17" display="Pallets – outsourced service centres [17]" xr:uid="{6AA6339C-3565-4AE8-9782-27E42B2DD453}"/>
    <hyperlink ref="C342" location="FNPP_17" display="RPCs – outsourced service centres [17]" xr:uid="{2A3A9E0E-7745-46DB-9D0A-E45BEECC4602}"/>
    <hyperlink ref="H144" location="FNPP_18" display=" Yes[18] " xr:uid="{D1688E42-2D4E-4C66-98F2-6B8603C0A166}"/>
    <hyperlink ref="C478" location="FNPP_13" display=" 8,699[13] " xr:uid="{39C04710-15FC-45B9-8D5E-95FF8A91530B}"/>
    <hyperlink ref="B253" location="FNPP_20" display="FY20 [20]" xr:uid="{2A41E591-982B-4CFE-896D-0A733AFC4238}"/>
    <hyperlink ref="E205" location="FNPP_20" display="FY20 [20]" xr:uid="{83ABA16C-27F9-4F5B-ACED-F6203D6C420F}"/>
    <hyperlink ref="B246" location="FNPP_21" display="FY20 Rebased [21]" xr:uid="{A112A3F5-5E7F-4E00-BE5D-BE00A14A5333}"/>
    <hyperlink ref="C284" location="FNPP_4" display="Pallets EMEA [4]" xr:uid="{7407D5A1-2EAB-4F25-8A43-3F400759B47C}"/>
    <hyperlink ref="C350" location="FNPP_3" display="Pallets – outsourced service centres [3]" xr:uid="{7283DD4F-E6B4-4015-9C8E-64325F57B3BA}"/>
    <hyperlink ref="C355" location="FNPP_3" display="Pallets – outsourced service centres [3]" xr:uid="{07B991C9-985B-4108-BB2C-07C63C5F94C3}"/>
    <hyperlink ref="C360" location="FNPP_3" display="Pallets – outsourced service centres [3]" xr:uid="{058BDB02-0169-4069-A46B-0A611B83C954}"/>
    <hyperlink ref="C365" location="FNPP_3" display="Pallets – outsourced service centres [3]" xr:uid="{1F9F96AC-FB86-4325-865A-969580FF94AB}"/>
    <hyperlink ref="C370" location="FNPP_3" display="Pallets – outsourced service centres [3]" xr:uid="{67DF84B9-E60E-4D34-9EA5-26EFDA10E6BB}"/>
    <hyperlink ref="C375" location="FNPP_3" display="Pallets – outsourced service centres [3]" xr:uid="{357B7652-0E36-41D9-AEA0-E09F441C10B7}"/>
    <hyperlink ref="C317" location="'Planet Positive'!B546" display="FY21 [22]" xr:uid="{A917E2DB-4BAB-4226-87A5-87F13637BCED}"/>
  </hyperlinks>
  <pageMargins left="0.7" right="0.7" top="0.75" bottom="0.75" header="0.3" footer="0.3"/>
  <pageSetup paperSize="9" orientation="portrait" r:id="rId1"/>
  <drawing r:id="rId2"/>
  <legacyDrawing r:id="rId3"/>
  <oleObjects>
    <mc:AlternateContent xmlns:mc="http://schemas.openxmlformats.org/markup-compatibility/2006">
      <mc:Choice Requires="x14">
        <oleObject progId="Bitmap Image" shapeId="2049" r:id="rId4">
          <objectPr defaultSize="0" autoPict="0" r:id="rId5">
            <anchor moveWithCells="1">
              <from>
                <xdr:col>8</xdr:col>
                <xdr:colOff>19050</xdr:colOff>
                <xdr:row>0</xdr:row>
                <xdr:rowOff>50800</xdr:rowOff>
              </from>
              <to>
                <xdr:col>9</xdr:col>
                <xdr:colOff>431800</xdr:colOff>
                <xdr:row>1</xdr:row>
                <xdr:rowOff>1117600</xdr:rowOff>
              </to>
            </anchor>
          </objectPr>
        </oleObject>
      </mc:Choice>
      <mc:Fallback>
        <oleObject progId="Bitmap Image" shapeId="2049" r:id="rId4"/>
      </mc:Fallback>
    </mc:AlternateContent>
  </oleObjec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tabColor theme="6" tint="0.39997558519241921"/>
  </sheetPr>
  <dimension ref="A1:O181"/>
  <sheetViews>
    <sheetView showGridLines="0" workbookViewId="0">
      <selection activeCell="J143" sqref="J143"/>
    </sheetView>
  </sheetViews>
  <sheetFormatPr defaultColWidth="11" defaultRowHeight="15.5" x14ac:dyDescent="0.35"/>
  <cols>
    <col min="1" max="1" width="3" customWidth="1"/>
    <col min="2" max="2" width="18.5" customWidth="1"/>
    <col min="3" max="3" width="18" bestFit="1" customWidth="1"/>
    <col min="4" max="4" width="12" customWidth="1"/>
    <col min="5" max="5" width="13" customWidth="1"/>
    <col min="6" max="6" width="15.5" customWidth="1"/>
    <col min="7" max="7" width="13" customWidth="1"/>
  </cols>
  <sheetData>
    <row r="1" spans="1:14" s="15" customFormat="1" x14ac:dyDescent="0.35">
      <c r="A1" s="14"/>
      <c r="F1" s="917" t="s">
        <v>215</v>
      </c>
      <c r="G1" s="917"/>
      <c r="H1" s="917"/>
      <c r="I1" s="917"/>
    </row>
    <row r="2" spans="1:14" s="15" customFormat="1" ht="29" x14ac:dyDescent="0.45">
      <c r="B2" s="151" t="s">
        <v>216</v>
      </c>
      <c r="C2" s="16"/>
      <c r="D2" s="17"/>
      <c r="E2" s="17"/>
      <c r="F2" s="917"/>
      <c r="G2" s="917"/>
      <c r="H2" s="917"/>
      <c r="I2" s="917"/>
      <c r="K2" s="14"/>
    </row>
    <row r="3" spans="1:14" x14ac:dyDescent="0.35">
      <c r="A3" s="9"/>
      <c r="B3" t="s">
        <v>1</v>
      </c>
      <c r="C3" s="206"/>
      <c r="D3" s="9"/>
      <c r="E3" s="9"/>
      <c r="F3" s="9"/>
      <c r="G3" s="9"/>
      <c r="H3" s="9"/>
      <c r="I3" s="9"/>
      <c r="J3" s="9"/>
      <c r="K3" s="9"/>
      <c r="L3" s="9"/>
    </row>
    <row r="4" spans="1:14" x14ac:dyDescent="0.35">
      <c r="A4" s="9"/>
      <c r="B4" s="150" t="s">
        <v>2</v>
      </c>
      <c r="C4" s="8"/>
      <c r="D4" s="9"/>
      <c r="E4" s="9"/>
      <c r="F4" s="9"/>
      <c r="G4" s="9"/>
      <c r="H4" s="9"/>
      <c r="I4" s="9"/>
      <c r="J4" s="9"/>
      <c r="K4" s="9"/>
      <c r="L4" s="9"/>
    </row>
    <row r="5" spans="1:14" x14ac:dyDescent="0.35">
      <c r="A5" s="9"/>
      <c r="B5" t="s">
        <v>217</v>
      </c>
    </row>
    <row r="6" spans="1:14" ht="35.15" customHeight="1" x14ac:dyDescent="0.35">
      <c r="A6" s="9"/>
      <c r="B6" s="915" t="s">
        <v>218</v>
      </c>
      <c r="C6" s="915"/>
      <c r="D6" s="915"/>
      <c r="E6" s="915"/>
      <c r="F6" s="915"/>
      <c r="G6" s="915"/>
      <c r="H6" s="915"/>
      <c r="I6" s="915"/>
      <c r="J6" s="915"/>
      <c r="K6" s="915"/>
      <c r="L6" s="915"/>
      <c r="M6" s="915"/>
      <c r="N6" s="915"/>
    </row>
    <row r="7" spans="1:14" s="15" customFormat="1" ht="17.5" x14ac:dyDescent="0.35">
      <c r="B7" s="153" t="s">
        <v>4</v>
      </c>
    </row>
    <row r="8" spans="1:14" s="208" customFormat="1" x14ac:dyDescent="0.35">
      <c r="B8" s="154" t="s">
        <v>27</v>
      </c>
      <c r="D8" s="154" t="s">
        <v>6</v>
      </c>
      <c r="G8" s="154" t="s">
        <v>153</v>
      </c>
    </row>
    <row r="9" spans="1:14" s="208" customFormat="1" x14ac:dyDescent="0.35">
      <c r="B9" s="149" t="s">
        <v>90</v>
      </c>
      <c r="D9" s="149" t="s">
        <v>219</v>
      </c>
      <c r="G9" s="149" t="s">
        <v>24</v>
      </c>
    </row>
    <row r="10" spans="1:14" s="208" customFormat="1" x14ac:dyDescent="0.35">
      <c r="B10" s="149" t="s">
        <v>31</v>
      </c>
      <c r="D10" s="149" t="s">
        <v>12</v>
      </c>
      <c r="G10"/>
    </row>
    <row r="11" spans="1:14" s="208" customFormat="1" x14ac:dyDescent="0.35">
      <c r="B11" s="149" t="s">
        <v>35</v>
      </c>
      <c r="D11" s="149" t="s">
        <v>14</v>
      </c>
    </row>
    <row r="12" spans="1:14" s="208" customFormat="1" x14ac:dyDescent="0.35"/>
    <row r="13" spans="1:14" s="15" customFormat="1" ht="25" x14ac:dyDescent="0.45">
      <c r="B13" s="153" t="s">
        <v>27</v>
      </c>
      <c r="C13" s="18"/>
      <c r="D13" s="17"/>
      <c r="E13" s="17"/>
      <c r="F13" s="17"/>
      <c r="G13" s="17"/>
      <c r="H13" s="17"/>
      <c r="I13" s="17"/>
      <c r="J13" s="17"/>
      <c r="K13" s="29"/>
      <c r="L13" s="29"/>
    </row>
    <row r="14" spans="1:14" ht="6" customHeight="1" x14ac:dyDescent="0.45">
      <c r="C14" s="46"/>
      <c r="D14" s="20"/>
      <c r="E14" s="20"/>
      <c r="F14" s="20"/>
      <c r="G14" s="20"/>
      <c r="H14" s="20"/>
      <c r="I14" s="20"/>
      <c r="J14" s="20"/>
      <c r="K14" s="10"/>
      <c r="L14" s="10"/>
    </row>
    <row r="15" spans="1:14" s="15" customFormat="1" ht="17.5" x14ac:dyDescent="0.45">
      <c r="B15" s="21" t="s">
        <v>90</v>
      </c>
      <c r="C15" s="21"/>
      <c r="D15" s="17"/>
      <c r="E15" s="17"/>
      <c r="F15" s="17"/>
      <c r="G15" s="17"/>
      <c r="H15" s="17"/>
      <c r="I15" s="17"/>
      <c r="J15" s="17"/>
      <c r="K15" s="17"/>
      <c r="L15" s="29"/>
    </row>
    <row r="16" spans="1:14" ht="6" customHeight="1" thickBot="1" x14ac:dyDescent="0.5">
      <c r="B16" s="19"/>
      <c r="C16" s="19"/>
      <c r="D16" s="20"/>
      <c r="E16" s="10"/>
      <c r="F16" s="20"/>
      <c r="G16" s="20"/>
      <c r="H16" s="20"/>
      <c r="I16" s="20"/>
      <c r="J16" s="20"/>
      <c r="K16" s="20"/>
      <c r="L16" s="10"/>
    </row>
    <row r="17" spans="2:15" ht="32" x14ac:dyDescent="0.45">
      <c r="B17" s="586" t="s">
        <v>75</v>
      </c>
      <c r="C17" s="586" t="s">
        <v>45</v>
      </c>
      <c r="D17" s="586" t="s">
        <v>46</v>
      </c>
      <c r="E17" s="586" t="s">
        <v>47</v>
      </c>
      <c r="F17" s="586" t="s">
        <v>48</v>
      </c>
      <c r="G17" s="586" t="s">
        <v>49</v>
      </c>
      <c r="H17" s="586" t="s">
        <v>50</v>
      </c>
      <c r="I17" s="586" t="s">
        <v>220</v>
      </c>
      <c r="J17" s="10"/>
      <c r="K17" s="10"/>
      <c r="L17" s="10"/>
      <c r="M17" s="10"/>
    </row>
    <row r="18" spans="2:15" ht="17.5" x14ac:dyDescent="0.45">
      <c r="B18" s="22" t="s">
        <v>221</v>
      </c>
      <c r="C18" s="162"/>
      <c r="D18" s="162"/>
      <c r="E18" s="162"/>
      <c r="F18" s="162"/>
      <c r="G18" s="163"/>
      <c r="H18" s="163"/>
      <c r="I18" s="163"/>
      <c r="J18" s="20"/>
      <c r="K18" s="20"/>
      <c r="L18" s="10"/>
      <c r="M18" s="10"/>
      <c r="N18" s="1"/>
      <c r="O18" s="1"/>
    </row>
    <row r="19" spans="2:15" ht="17.5" x14ac:dyDescent="0.45">
      <c r="B19" s="22" t="s">
        <v>222</v>
      </c>
      <c r="C19" s="162"/>
      <c r="D19" s="162"/>
      <c r="E19" s="162"/>
      <c r="F19" s="162"/>
      <c r="G19" s="163"/>
      <c r="H19" s="163"/>
      <c r="I19" s="163"/>
      <c r="J19" s="20"/>
      <c r="K19" s="20"/>
      <c r="L19" s="10"/>
      <c r="M19" s="10"/>
      <c r="N19" s="1"/>
      <c r="O19" s="1"/>
    </row>
    <row r="20" spans="2:15" ht="17.5" x14ac:dyDescent="0.45">
      <c r="B20" s="22" t="s">
        <v>223</v>
      </c>
      <c r="C20" s="162"/>
      <c r="D20" s="162"/>
      <c r="E20" s="162"/>
      <c r="F20" s="162"/>
      <c r="G20" s="163"/>
      <c r="H20" s="163"/>
      <c r="I20" s="163"/>
      <c r="J20" s="20"/>
      <c r="K20" s="20"/>
      <c r="L20" s="10"/>
      <c r="M20" s="10"/>
      <c r="N20" s="1"/>
      <c r="O20" s="1"/>
    </row>
    <row r="21" spans="2:15" ht="32" x14ac:dyDescent="0.45">
      <c r="B21" s="22" t="s">
        <v>224</v>
      </c>
      <c r="C21" s="162"/>
      <c r="D21" s="162"/>
      <c r="E21" s="162"/>
      <c r="F21" s="162"/>
      <c r="G21" s="163"/>
      <c r="H21" s="163"/>
      <c r="I21" s="163"/>
      <c r="J21" s="20"/>
      <c r="K21" s="20"/>
      <c r="L21" s="10"/>
      <c r="M21" s="10"/>
      <c r="N21" s="1"/>
      <c r="O21" s="1"/>
    </row>
    <row r="22" spans="2:15" ht="17.5" x14ac:dyDescent="0.45">
      <c r="B22" s="22" t="s">
        <v>225</v>
      </c>
      <c r="C22" s="162"/>
      <c r="D22" s="162"/>
      <c r="E22" s="162"/>
      <c r="F22" s="162"/>
      <c r="G22" s="163"/>
      <c r="H22" s="163"/>
      <c r="I22" s="163"/>
      <c r="J22" s="20"/>
      <c r="K22" s="20"/>
      <c r="L22" s="10"/>
      <c r="M22" s="10"/>
      <c r="N22" s="1"/>
      <c r="O22" s="1"/>
    </row>
    <row r="23" spans="2:15" ht="17.5" x14ac:dyDescent="0.45">
      <c r="B23" s="22" t="s">
        <v>226</v>
      </c>
      <c r="C23" s="162"/>
      <c r="D23" s="162"/>
      <c r="E23" s="162"/>
      <c r="F23" s="162"/>
      <c r="G23" s="163"/>
      <c r="H23" s="163"/>
      <c r="I23" s="163"/>
      <c r="J23" s="20"/>
      <c r="K23" s="20"/>
      <c r="L23" s="10"/>
      <c r="M23" s="10"/>
      <c r="N23" s="1"/>
      <c r="O23" s="1"/>
    </row>
    <row r="24" spans="2:15" ht="18" thickBot="1" x14ac:dyDescent="0.5">
      <c r="B24" s="24" t="s">
        <v>54</v>
      </c>
      <c r="C24" s="132">
        <f>SUM(C18:C23)</f>
        <v>0</v>
      </c>
      <c r="D24" s="132">
        <f>SUM(D18:D23)</f>
        <v>0</v>
      </c>
      <c r="E24" s="132">
        <v>0</v>
      </c>
      <c r="F24" s="132">
        <f t="shared" ref="F24" si="0">SUM(F18:F23)</f>
        <v>0</v>
      </c>
      <c r="G24" s="132">
        <f t="shared" ref="G24" si="1">SUM(G18:G23)</f>
        <v>0</v>
      </c>
      <c r="H24" s="132">
        <f t="shared" ref="H24" si="2">SUM(H18:H23)</f>
        <v>0</v>
      </c>
      <c r="I24" s="132">
        <f t="shared" ref="I24" si="3">SUM(I18:I23)</f>
        <v>0</v>
      </c>
      <c r="J24" s="20"/>
      <c r="K24" s="20"/>
      <c r="L24" s="10"/>
      <c r="M24" s="10"/>
    </row>
    <row r="25" spans="2:15" ht="17.5" x14ac:dyDescent="0.45">
      <c r="B25" s="19"/>
      <c r="C25" s="19"/>
      <c r="D25" s="10"/>
      <c r="E25" s="20"/>
      <c r="F25" s="20"/>
      <c r="G25" s="20"/>
      <c r="H25" s="20"/>
      <c r="I25" s="20"/>
      <c r="J25" s="20"/>
      <c r="K25" s="10"/>
      <c r="L25" s="10"/>
    </row>
    <row r="26" spans="2:15" s="15" customFormat="1" ht="17.5" x14ac:dyDescent="0.45">
      <c r="B26" s="21" t="s">
        <v>31</v>
      </c>
      <c r="C26" s="21"/>
      <c r="D26" s="17"/>
      <c r="E26" s="17"/>
      <c r="F26" s="17"/>
      <c r="G26" s="17"/>
      <c r="H26" s="17"/>
      <c r="I26" s="17"/>
      <c r="J26" s="17"/>
      <c r="K26" s="17"/>
      <c r="L26" s="29"/>
    </row>
    <row r="27" spans="2:15" ht="6" customHeight="1" thickBot="1" x14ac:dyDescent="0.5">
      <c r="B27" s="19"/>
      <c r="C27" s="19"/>
      <c r="D27" s="20"/>
      <c r="E27" s="10"/>
      <c r="F27" s="20"/>
      <c r="G27" s="20"/>
      <c r="H27" s="20"/>
      <c r="I27" s="20"/>
      <c r="J27" s="20"/>
      <c r="K27" s="20"/>
      <c r="L27" s="10"/>
    </row>
    <row r="28" spans="2:15" ht="32" x14ac:dyDescent="0.45">
      <c r="B28" s="586" t="s">
        <v>75</v>
      </c>
      <c r="C28" s="586" t="s">
        <v>45</v>
      </c>
      <c r="D28" s="586" t="s">
        <v>46</v>
      </c>
      <c r="E28" s="586" t="s">
        <v>47</v>
      </c>
      <c r="F28" s="586" t="s">
        <v>48</v>
      </c>
      <c r="G28" s="586" t="s">
        <v>49</v>
      </c>
      <c r="H28" s="586" t="s">
        <v>50</v>
      </c>
      <c r="I28" s="586" t="s">
        <v>220</v>
      </c>
      <c r="J28" s="10"/>
      <c r="K28" s="10"/>
      <c r="L28" s="10"/>
      <c r="M28" s="10"/>
    </row>
    <row r="29" spans="2:15" ht="17.5" x14ac:dyDescent="0.45">
      <c r="B29" s="22" t="s">
        <v>221</v>
      </c>
      <c r="C29" s="162"/>
      <c r="D29" s="162"/>
      <c r="E29" s="162"/>
      <c r="F29" s="162"/>
      <c r="G29" s="163"/>
      <c r="H29" s="163"/>
      <c r="I29" s="163"/>
      <c r="J29" s="20"/>
      <c r="K29" s="20"/>
      <c r="L29" s="10"/>
      <c r="M29" s="10"/>
      <c r="N29" s="1"/>
      <c r="O29" s="1"/>
    </row>
    <row r="30" spans="2:15" ht="17.5" x14ac:dyDescent="0.45">
      <c r="B30" s="22" t="s">
        <v>222</v>
      </c>
      <c r="C30" s="162"/>
      <c r="D30" s="162"/>
      <c r="E30" s="162"/>
      <c r="F30" s="162"/>
      <c r="G30" s="163"/>
      <c r="H30" s="163"/>
      <c r="I30" s="163"/>
      <c r="J30" s="20"/>
      <c r="K30" s="20"/>
      <c r="L30" s="10"/>
      <c r="M30" s="10"/>
      <c r="N30" s="1"/>
      <c r="O30" s="1"/>
    </row>
    <row r="31" spans="2:15" ht="17.5" x14ac:dyDescent="0.45">
      <c r="B31" s="22" t="s">
        <v>223</v>
      </c>
      <c r="C31" s="162"/>
      <c r="D31" s="162"/>
      <c r="E31" s="162"/>
      <c r="F31" s="162"/>
      <c r="G31" s="163"/>
      <c r="H31" s="163"/>
      <c r="I31" s="163"/>
      <c r="J31" s="20"/>
      <c r="K31" s="20"/>
      <c r="L31" s="10"/>
      <c r="M31" s="10"/>
      <c r="N31" s="1"/>
      <c r="O31" s="1"/>
    </row>
    <row r="32" spans="2:15" ht="32" x14ac:dyDescent="0.45">
      <c r="B32" s="22" t="s">
        <v>224</v>
      </c>
      <c r="C32" s="162"/>
      <c r="D32" s="162"/>
      <c r="E32" s="162"/>
      <c r="F32" s="162"/>
      <c r="G32" s="163"/>
      <c r="H32" s="163"/>
      <c r="I32" s="163"/>
      <c r="J32" s="20"/>
      <c r="K32" s="20"/>
      <c r="L32" s="10"/>
      <c r="M32" s="10"/>
      <c r="N32" s="1"/>
      <c r="O32" s="1"/>
    </row>
    <row r="33" spans="2:15" ht="17.5" x14ac:dyDescent="0.45">
      <c r="B33" s="22" t="s">
        <v>225</v>
      </c>
      <c r="C33" s="162"/>
      <c r="D33" s="162"/>
      <c r="E33" s="162"/>
      <c r="F33" s="162"/>
      <c r="G33" s="163"/>
      <c r="H33" s="163"/>
      <c r="I33" s="163"/>
      <c r="J33" s="20"/>
      <c r="K33" s="20"/>
      <c r="L33" s="10"/>
      <c r="M33" s="10"/>
      <c r="N33" s="1"/>
      <c r="O33" s="1"/>
    </row>
    <row r="34" spans="2:15" ht="17.5" x14ac:dyDescent="0.45">
      <c r="B34" s="22" t="s">
        <v>226</v>
      </c>
      <c r="C34" s="162"/>
      <c r="D34" s="162"/>
      <c r="E34" s="162"/>
      <c r="F34" s="162"/>
      <c r="G34" s="163"/>
      <c r="H34" s="163"/>
      <c r="I34" s="163"/>
      <c r="J34" s="20"/>
      <c r="K34" s="20"/>
      <c r="L34" s="10"/>
      <c r="M34" s="10"/>
      <c r="N34" s="1"/>
      <c r="O34" s="1"/>
    </row>
    <row r="35" spans="2:15" ht="18" thickBot="1" x14ac:dyDescent="0.5">
      <c r="B35" s="24" t="s">
        <v>54</v>
      </c>
      <c r="C35" s="132">
        <f>SUM(C29:C34)</f>
        <v>0</v>
      </c>
      <c r="D35" s="132">
        <f>SUM(D29:D34)</f>
        <v>0</v>
      </c>
      <c r="E35" s="132"/>
      <c r="F35" s="132">
        <f t="shared" ref="F35:I35" si="4">SUM(F29:F34)</f>
        <v>0</v>
      </c>
      <c r="G35" s="132">
        <f t="shared" si="4"/>
        <v>0</v>
      </c>
      <c r="H35" s="132">
        <f t="shared" si="4"/>
        <v>0</v>
      </c>
      <c r="I35" s="132">
        <f t="shared" si="4"/>
        <v>0</v>
      </c>
      <c r="J35" s="20"/>
      <c r="K35" s="20"/>
      <c r="L35" s="10"/>
      <c r="M35" s="10"/>
    </row>
    <row r="36" spans="2:15" ht="17.5" x14ac:dyDescent="0.45">
      <c r="B36" s="294"/>
      <c r="C36" s="309"/>
      <c r="D36" s="309"/>
      <c r="E36" s="309"/>
      <c r="F36" s="309"/>
      <c r="G36" s="309"/>
      <c r="H36" s="309"/>
      <c r="I36" s="20"/>
      <c r="J36" s="20"/>
      <c r="K36" s="10"/>
      <c r="L36" s="10"/>
    </row>
    <row r="37" spans="2:15" s="15" customFormat="1" ht="17.5" x14ac:dyDescent="0.45">
      <c r="B37" s="21" t="s">
        <v>35</v>
      </c>
      <c r="C37" s="21"/>
      <c r="D37" s="17"/>
      <c r="E37" s="17"/>
      <c r="F37" s="17"/>
      <c r="G37" s="17"/>
      <c r="H37" s="17"/>
      <c r="I37" s="17"/>
      <c r="J37" s="17"/>
      <c r="K37" s="17"/>
      <c r="L37" s="29"/>
    </row>
    <row r="38" spans="2:15" ht="6" customHeight="1" thickBot="1" x14ac:dyDescent="0.5">
      <c r="B38" s="19"/>
      <c r="C38" s="19"/>
      <c r="D38" s="20"/>
      <c r="E38" s="10"/>
      <c r="F38" s="20"/>
      <c r="G38" s="20"/>
      <c r="H38" s="20"/>
      <c r="I38" s="20"/>
      <c r="J38" s="20"/>
      <c r="K38" s="20"/>
      <c r="L38" s="10"/>
    </row>
    <row r="39" spans="2:15" ht="32" x14ac:dyDescent="0.45">
      <c r="B39" s="586" t="s">
        <v>75</v>
      </c>
      <c r="C39" s="586" t="s">
        <v>45</v>
      </c>
      <c r="D39" s="586" t="s">
        <v>46</v>
      </c>
      <c r="E39" s="586" t="s">
        <v>47</v>
      </c>
      <c r="F39" s="586" t="s">
        <v>48</v>
      </c>
      <c r="G39" s="586" t="s">
        <v>49</v>
      </c>
      <c r="H39" s="586" t="s">
        <v>50</v>
      </c>
      <c r="I39" s="586" t="s">
        <v>220</v>
      </c>
      <c r="J39" s="10"/>
      <c r="K39" s="10"/>
      <c r="L39" s="10"/>
      <c r="M39" s="10"/>
    </row>
    <row r="40" spans="2:15" ht="17.5" x14ac:dyDescent="0.45">
      <c r="B40" s="22" t="s">
        <v>221</v>
      </c>
      <c r="C40" s="162"/>
      <c r="D40" s="162"/>
      <c r="E40" s="162"/>
      <c r="F40" s="162"/>
      <c r="G40" s="163"/>
      <c r="H40" s="163"/>
      <c r="I40" s="163"/>
      <c r="J40" s="20"/>
      <c r="K40" s="20"/>
      <c r="L40" s="10"/>
      <c r="M40" s="10"/>
      <c r="N40" s="1"/>
      <c r="O40" s="1"/>
    </row>
    <row r="41" spans="2:15" ht="17.5" x14ac:dyDescent="0.45">
      <c r="B41" s="22" t="s">
        <v>222</v>
      </c>
      <c r="C41" s="162"/>
      <c r="D41" s="162"/>
      <c r="E41" s="162"/>
      <c r="F41" s="162"/>
      <c r="G41" s="163"/>
      <c r="H41" s="163"/>
      <c r="I41" s="163"/>
      <c r="J41" s="20"/>
      <c r="K41" s="20"/>
      <c r="L41" s="10"/>
      <c r="M41" s="10"/>
      <c r="N41" s="1"/>
      <c r="O41" s="1"/>
    </row>
    <row r="42" spans="2:15" ht="17.5" x14ac:dyDescent="0.45">
      <c r="B42" s="22" t="s">
        <v>223</v>
      </c>
      <c r="C42" s="162"/>
      <c r="D42" s="162"/>
      <c r="E42" s="162"/>
      <c r="F42" s="162"/>
      <c r="G42" s="163"/>
      <c r="H42" s="163"/>
      <c r="I42" s="163"/>
      <c r="J42" s="20"/>
      <c r="K42" s="20"/>
      <c r="L42" s="10"/>
      <c r="M42" s="10"/>
      <c r="N42" s="1"/>
      <c r="O42" s="1"/>
    </row>
    <row r="43" spans="2:15" ht="32" x14ac:dyDescent="0.45">
      <c r="B43" s="22" t="s">
        <v>224</v>
      </c>
      <c r="C43" s="162"/>
      <c r="D43" s="162"/>
      <c r="E43" s="162"/>
      <c r="F43" s="162"/>
      <c r="G43" s="163"/>
      <c r="H43" s="163"/>
      <c r="I43" s="163"/>
      <c r="J43" s="20"/>
      <c r="K43" s="20"/>
      <c r="L43" s="10"/>
      <c r="M43" s="10"/>
      <c r="N43" s="1"/>
      <c r="O43" s="1"/>
    </row>
    <row r="44" spans="2:15" ht="17.5" x14ac:dyDescent="0.45">
      <c r="B44" s="22" t="s">
        <v>225</v>
      </c>
      <c r="C44" s="162"/>
      <c r="D44" s="162"/>
      <c r="E44" s="162"/>
      <c r="F44" s="162"/>
      <c r="G44" s="163"/>
      <c r="H44" s="163"/>
      <c r="I44" s="163"/>
      <c r="J44" s="20"/>
      <c r="K44" s="20"/>
      <c r="L44" s="10"/>
      <c r="M44" s="10"/>
      <c r="N44" s="1"/>
      <c r="O44" s="1"/>
    </row>
    <row r="45" spans="2:15" ht="17.5" x14ac:dyDescent="0.45">
      <c r="B45" s="22" t="s">
        <v>226</v>
      </c>
      <c r="C45" s="162"/>
      <c r="D45" s="162"/>
      <c r="E45" s="162"/>
      <c r="F45" s="162"/>
      <c r="G45" s="163"/>
      <c r="H45" s="163"/>
      <c r="I45" s="163"/>
      <c r="J45" s="20"/>
      <c r="K45" s="20"/>
      <c r="L45" s="10"/>
      <c r="M45" s="10"/>
      <c r="N45" s="1"/>
      <c r="O45" s="1"/>
    </row>
    <row r="46" spans="2:15" ht="18" thickBot="1" x14ac:dyDescent="0.5">
      <c r="B46" s="24" t="s">
        <v>54</v>
      </c>
      <c r="C46" s="132">
        <f>SUM(C40:C45)</f>
        <v>0</v>
      </c>
      <c r="D46" s="132">
        <f>SUM(D40:D45)</f>
        <v>0</v>
      </c>
      <c r="E46" s="132"/>
      <c r="F46" s="132">
        <f t="shared" ref="F46:I46" si="5">SUM(F40:F45)</f>
        <v>0</v>
      </c>
      <c r="G46" s="132">
        <f t="shared" si="5"/>
        <v>0</v>
      </c>
      <c r="H46" s="132">
        <f t="shared" si="5"/>
        <v>0</v>
      </c>
      <c r="I46" s="132">
        <f t="shared" si="5"/>
        <v>0</v>
      </c>
      <c r="J46" s="20"/>
      <c r="K46" s="20"/>
      <c r="L46" s="20"/>
      <c r="M46" s="20"/>
      <c r="N46" s="1"/>
    </row>
    <row r="47" spans="2:15" ht="17.5" x14ac:dyDescent="0.45">
      <c r="B47" s="294"/>
      <c r="C47" s="309"/>
      <c r="D47" s="309"/>
      <c r="E47" s="309"/>
      <c r="F47" s="309"/>
      <c r="G47" s="309"/>
      <c r="H47" s="309"/>
      <c r="I47" s="20"/>
      <c r="J47" s="20"/>
      <c r="K47" s="20"/>
      <c r="L47" s="20"/>
      <c r="M47" s="1"/>
    </row>
    <row r="48" spans="2:15" s="15" customFormat="1" ht="21" x14ac:dyDescent="0.45">
      <c r="B48" s="152" t="s">
        <v>6</v>
      </c>
      <c r="C48" s="152"/>
      <c r="D48" s="17"/>
      <c r="E48" s="17"/>
      <c r="F48" s="17"/>
      <c r="G48" s="17"/>
      <c r="H48" s="17"/>
      <c r="I48" s="17"/>
      <c r="J48" s="17"/>
      <c r="K48" s="29"/>
      <c r="L48" s="29"/>
    </row>
    <row r="49" spans="2:15" ht="6" customHeight="1" x14ac:dyDescent="0.45">
      <c r="B49" s="19"/>
      <c r="C49" s="19"/>
      <c r="D49" s="20"/>
      <c r="E49" s="20"/>
      <c r="F49" s="20"/>
      <c r="G49" s="20"/>
      <c r="H49" s="20"/>
      <c r="I49" s="20"/>
      <c r="J49" s="20"/>
      <c r="K49" s="10"/>
      <c r="L49" s="10"/>
    </row>
    <row r="50" spans="2:15" s="15" customFormat="1" ht="17.5" x14ac:dyDescent="0.45">
      <c r="B50" s="21" t="s">
        <v>219</v>
      </c>
      <c r="C50" s="21"/>
      <c r="D50" s="17"/>
      <c r="E50" s="17"/>
      <c r="F50" s="17"/>
      <c r="G50" s="17"/>
      <c r="H50" s="17"/>
      <c r="I50" s="17"/>
      <c r="J50" s="17"/>
      <c r="K50" s="17"/>
      <c r="L50" s="29"/>
    </row>
    <row r="51" spans="2:15" ht="6" customHeight="1" thickBot="1" x14ac:dyDescent="0.5">
      <c r="B51" s="19"/>
      <c r="C51" s="19"/>
      <c r="D51" s="20"/>
      <c r="E51" s="10"/>
      <c r="F51" s="20"/>
      <c r="G51" s="20"/>
      <c r="H51" s="20"/>
      <c r="I51" s="20"/>
      <c r="J51" s="20"/>
      <c r="K51" s="20"/>
      <c r="L51" s="10"/>
    </row>
    <row r="52" spans="2:15" ht="32" x14ac:dyDescent="0.45">
      <c r="B52" s="586" t="s">
        <v>75</v>
      </c>
      <c r="C52" s="586" t="s">
        <v>45</v>
      </c>
      <c r="D52" s="586" t="s">
        <v>46</v>
      </c>
      <c r="E52" s="586" t="s">
        <v>47</v>
      </c>
      <c r="F52" s="586" t="s">
        <v>48</v>
      </c>
      <c r="G52" s="586" t="s">
        <v>49</v>
      </c>
      <c r="H52" s="586" t="s">
        <v>50</v>
      </c>
      <c r="I52" s="586" t="s">
        <v>220</v>
      </c>
      <c r="J52" s="10"/>
      <c r="K52" s="10"/>
      <c r="L52" s="10"/>
      <c r="M52" s="10"/>
    </row>
    <row r="53" spans="2:15" ht="17.5" x14ac:dyDescent="0.45">
      <c r="B53" s="22" t="s">
        <v>221</v>
      </c>
      <c r="C53" s="162">
        <v>15.811999999999999</v>
      </c>
      <c r="D53" s="162"/>
      <c r="E53" s="162"/>
      <c r="F53" s="162"/>
      <c r="G53" s="163"/>
      <c r="H53" s="163"/>
      <c r="I53" s="163"/>
      <c r="J53" s="20"/>
      <c r="K53" s="20"/>
      <c r="L53" s="10"/>
      <c r="M53" s="10"/>
      <c r="N53" s="1"/>
      <c r="O53" s="1"/>
    </row>
    <row r="54" spans="2:15" ht="17.5" x14ac:dyDescent="0.45">
      <c r="B54" s="22" t="s">
        <v>222</v>
      </c>
      <c r="C54" s="162">
        <v>55</v>
      </c>
      <c r="D54" s="162"/>
      <c r="E54" s="162"/>
      <c r="F54" s="162"/>
      <c r="G54" s="163"/>
      <c r="H54" s="163"/>
      <c r="I54" s="163"/>
      <c r="J54" s="20"/>
      <c r="K54" s="20"/>
      <c r="L54" s="10"/>
      <c r="M54" s="10"/>
      <c r="N54" s="1"/>
      <c r="O54" s="1"/>
    </row>
    <row r="55" spans="2:15" ht="17.5" x14ac:dyDescent="0.45">
      <c r="B55" s="22" t="s">
        <v>223</v>
      </c>
      <c r="C55" s="162">
        <v>4.4329999999999998</v>
      </c>
      <c r="D55" s="162"/>
      <c r="E55" s="162"/>
      <c r="F55" s="162"/>
      <c r="G55" s="163"/>
      <c r="H55" s="163"/>
      <c r="I55" s="163"/>
      <c r="J55" s="20"/>
      <c r="K55" s="20"/>
      <c r="L55" s="10"/>
      <c r="M55" s="10"/>
      <c r="N55" s="1"/>
      <c r="O55" s="1"/>
    </row>
    <row r="56" spans="2:15" ht="32" x14ac:dyDescent="0.45">
      <c r="B56" s="22" t="s">
        <v>224</v>
      </c>
      <c r="C56" s="162">
        <v>7695</v>
      </c>
      <c r="D56" s="162"/>
      <c r="E56" s="162"/>
      <c r="F56" s="162"/>
      <c r="G56" s="163"/>
      <c r="H56" s="163"/>
      <c r="I56" s="163"/>
      <c r="J56" s="20"/>
      <c r="K56" s="20"/>
      <c r="L56" s="10"/>
      <c r="M56" s="10"/>
      <c r="N56" s="1"/>
      <c r="O56" s="1"/>
    </row>
    <row r="57" spans="2:15" ht="17.5" x14ac:dyDescent="0.45">
      <c r="B57" s="22" t="s">
        <v>225</v>
      </c>
      <c r="C57" s="162">
        <v>2185</v>
      </c>
      <c r="D57" s="162"/>
      <c r="E57" s="162"/>
      <c r="F57" s="162"/>
      <c r="G57" s="163"/>
      <c r="H57" s="163"/>
      <c r="I57" s="163"/>
      <c r="J57" s="20"/>
      <c r="K57" s="20"/>
      <c r="L57" s="10"/>
      <c r="M57" s="10"/>
      <c r="N57" s="1"/>
      <c r="O57" s="1"/>
    </row>
    <row r="58" spans="2:15" ht="17.5" x14ac:dyDescent="0.45">
      <c r="B58" s="22" t="s">
        <v>226</v>
      </c>
      <c r="C58" s="162">
        <v>9015</v>
      </c>
      <c r="D58" s="162"/>
      <c r="E58" s="162"/>
      <c r="F58" s="162"/>
      <c r="G58" s="163"/>
      <c r="H58" s="163"/>
      <c r="I58" s="163"/>
      <c r="J58" s="20"/>
      <c r="K58" s="20"/>
      <c r="L58" s="10"/>
      <c r="M58" s="10"/>
      <c r="N58" s="1"/>
      <c r="O58" s="1"/>
    </row>
    <row r="59" spans="2:15" ht="17.5" x14ac:dyDescent="0.45">
      <c r="B59" s="24"/>
      <c r="C59" s="132"/>
      <c r="D59" s="132"/>
      <c r="E59" s="132"/>
      <c r="F59" s="132"/>
      <c r="G59" s="132"/>
      <c r="H59" s="132"/>
      <c r="I59" s="132"/>
      <c r="J59" s="20"/>
      <c r="K59" s="20"/>
      <c r="L59" s="10"/>
      <c r="M59" s="10"/>
      <c r="N59" s="1"/>
      <c r="O59" s="1"/>
    </row>
    <row r="60" spans="2:15" ht="17.5" x14ac:dyDescent="0.45">
      <c r="B60" s="128"/>
      <c r="J60" s="10"/>
      <c r="K60" s="10"/>
      <c r="L60" s="10"/>
    </row>
    <row r="61" spans="2:15" s="15" customFormat="1" ht="17.5" x14ac:dyDescent="0.45">
      <c r="B61" s="21" t="s">
        <v>227</v>
      </c>
      <c r="C61" s="21"/>
      <c r="D61" s="17"/>
      <c r="E61" s="17"/>
      <c r="F61" s="17"/>
      <c r="G61" s="17"/>
      <c r="H61" s="17"/>
      <c r="I61" s="17"/>
      <c r="J61" s="17"/>
      <c r="K61" s="17"/>
      <c r="L61" s="29"/>
    </row>
    <row r="62" spans="2:15" ht="6" customHeight="1" thickBot="1" x14ac:dyDescent="0.5">
      <c r="B62" s="19"/>
      <c r="C62" s="19"/>
      <c r="D62" s="20"/>
      <c r="E62" s="10"/>
      <c r="F62" s="20"/>
      <c r="G62" s="20"/>
      <c r="H62" s="20"/>
      <c r="I62" s="20"/>
      <c r="J62" s="20"/>
      <c r="K62" s="20"/>
      <c r="L62" s="10"/>
    </row>
    <row r="63" spans="2:15" ht="32" x14ac:dyDescent="0.45">
      <c r="B63" s="586" t="s">
        <v>75</v>
      </c>
      <c r="C63" s="586" t="s">
        <v>45</v>
      </c>
      <c r="D63" s="586" t="s">
        <v>46</v>
      </c>
      <c r="E63" s="586" t="s">
        <v>47</v>
      </c>
      <c r="F63" s="586" t="s">
        <v>48</v>
      </c>
      <c r="G63" s="586" t="s">
        <v>49</v>
      </c>
      <c r="H63" s="586" t="s">
        <v>50</v>
      </c>
      <c r="I63" s="586" t="s">
        <v>220</v>
      </c>
      <c r="J63" s="10"/>
      <c r="K63" s="10"/>
      <c r="L63" s="10"/>
      <c r="M63" s="10"/>
    </row>
    <row r="64" spans="2:15" ht="17.5" x14ac:dyDescent="0.45">
      <c r="B64" s="22" t="s">
        <v>221</v>
      </c>
      <c r="C64" s="384">
        <v>0.29499999999999998</v>
      </c>
      <c r="D64" s="362"/>
      <c r="E64" s="362"/>
      <c r="F64" s="384">
        <v>0.313</v>
      </c>
      <c r="G64" s="385">
        <v>0.311</v>
      </c>
      <c r="H64" s="385">
        <v>0.31900000000000001</v>
      </c>
      <c r="I64" s="385">
        <v>0.32200000000000001</v>
      </c>
      <c r="J64" s="20"/>
      <c r="K64" s="367" t="s">
        <v>228</v>
      </c>
      <c r="L64" s="10"/>
      <c r="M64" s="10"/>
      <c r="N64" s="1"/>
      <c r="O64" s="1"/>
    </row>
    <row r="65" spans="2:15" ht="17.5" x14ac:dyDescent="0.45">
      <c r="B65" s="22" t="s">
        <v>222</v>
      </c>
      <c r="C65" s="384"/>
      <c r="D65" s="362"/>
      <c r="E65" s="362"/>
      <c r="F65" s="384"/>
      <c r="G65" s="385"/>
      <c r="H65" s="385"/>
      <c r="I65" s="385"/>
      <c r="J65" s="171"/>
      <c r="K65" s="360"/>
      <c r="L65" s="10"/>
      <c r="M65" s="10"/>
      <c r="N65" s="1"/>
      <c r="O65" s="1"/>
    </row>
    <row r="66" spans="2:15" ht="17.5" x14ac:dyDescent="0.45">
      <c r="B66" s="22" t="s">
        <v>223</v>
      </c>
      <c r="C66" s="384">
        <v>0.157</v>
      </c>
      <c r="D66" s="362"/>
      <c r="E66" s="362"/>
      <c r="F66" s="384">
        <v>0.17899999999999999</v>
      </c>
      <c r="G66" s="385">
        <v>0.14499999999999999</v>
      </c>
      <c r="H66" s="385">
        <v>0.182</v>
      </c>
      <c r="I66" s="385">
        <v>0.16500000000000001</v>
      </c>
      <c r="J66" s="20"/>
      <c r="K66" s="20"/>
      <c r="L66" s="10"/>
      <c r="M66" s="10"/>
      <c r="N66" s="1"/>
      <c r="O66" s="1"/>
    </row>
    <row r="67" spans="2:15" ht="32" x14ac:dyDescent="0.45">
      <c r="B67" s="22" t="s">
        <v>224</v>
      </c>
      <c r="C67" s="384">
        <v>0.13200000000000001</v>
      </c>
      <c r="D67" s="362"/>
      <c r="E67" s="362"/>
      <c r="F67" s="384">
        <v>0.13500000000000001</v>
      </c>
      <c r="G67" s="385">
        <v>0.124</v>
      </c>
      <c r="H67" s="385">
        <v>0.13400000000000001</v>
      </c>
      <c r="I67" s="385">
        <v>0.13900000000000001</v>
      </c>
      <c r="J67" s="20"/>
      <c r="K67" s="20"/>
      <c r="L67" s="10"/>
      <c r="M67" s="10"/>
      <c r="N67" s="1"/>
      <c r="O67" s="1"/>
    </row>
    <row r="68" spans="2:15" ht="17.5" x14ac:dyDescent="0.45">
      <c r="B68" s="22" t="s">
        <v>225</v>
      </c>
      <c r="C68" s="384">
        <v>6.9000000000000006E-2</v>
      </c>
      <c r="D68" s="362"/>
      <c r="E68" s="362"/>
      <c r="F68" s="384">
        <v>0.28399999999999997</v>
      </c>
      <c r="G68" s="385">
        <v>0.48</v>
      </c>
      <c r="H68" s="385">
        <v>0.498</v>
      </c>
      <c r="I68" s="385">
        <v>0.51900000000000002</v>
      </c>
      <c r="J68" s="20"/>
      <c r="K68" s="20"/>
      <c r="L68" s="10"/>
      <c r="M68" s="10"/>
      <c r="N68" s="1"/>
      <c r="O68" s="1"/>
    </row>
    <row r="69" spans="2:15" ht="17.5" x14ac:dyDescent="0.45">
      <c r="B69" s="22" t="s">
        <v>226</v>
      </c>
      <c r="C69" s="384">
        <v>0.28999999999999998</v>
      </c>
      <c r="D69" s="362"/>
      <c r="E69" s="362"/>
      <c r="F69" s="384">
        <v>0.30299999999999999</v>
      </c>
      <c r="G69" s="385">
        <v>0.308</v>
      </c>
      <c r="H69" s="385">
        <v>0.29599999999999999</v>
      </c>
      <c r="I69" s="385">
        <v>0.29499999999999998</v>
      </c>
      <c r="J69" s="20"/>
      <c r="K69" s="20"/>
      <c r="L69" s="10"/>
      <c r="M69" s="10"/>
      <c r="N69" s="1"/>
      <c r="O69" s="1"/>
    </row>
    <row r="70" spans="2:15" ht="17.5" x14ac:dyDescent="0.45">
      <c r="B70" s="24"/>
      <c r="C70" s="361"/>
      <c r="D70" s="361"/>
      <c r="E70" s="361"/>
      <c r="F70" s="361"/>
      <c r="G70" s="361"/>
      <c r="H70" s="361"/>
      <c r="I70" s="361"/>
      <c r="J70" s="20"/>
      <c r="K70" s="20"/>
      <c r="L70" s="10"/>
      <c r="M70" s="10"/>
      <c r="N70" s="1"/>
      <c r="O70" s="1"/>
    </row>
    <row r="71" spans="2:15" ht="17.5" x14ac:dyDescent="0.45">
      <c r="B71" s="127"/>
      <c r="C71" s="19"/>
      <c r="D71" s="20"/>
      <c r="E71" s="20"/>
      <c r="F71" s="20"/>
      <c r="G71" s="20"/>
      <c r="H71" s="20"/>
      <c r="I71" s="20"/>
      <c r="J71" s="20"/>
    </row>
    <row r="72" spans="2:15" s="15" customFormat="1" ht="17.5" x14ac:dyDescent="0.45">
      <c r="B72" s="21" t="s">
        <v>14</v>
      </c>
      <c r="C72" s="21"/>
      <c r="D72" s="17"/>
      <c r="E72" s="17"/>
      <c r="F72" s="17"/>
      <c r="G72" s="17"/>
      <c r="H72" s="17"/>
      <c r="I72" s="17"/>
      <c r="J72" s="17"/>
      <c r="K72" s="17"/>
      <c r="L72" s="29"/>
    </row>
    <row r="73" spans="2:15" ht="6" customHeight="1" thickBot="1" x14ac:dyDescent="0.5">
      <c r="B73" s="19"/>
      <c r="C73" s="19"/>
      <c r="D73" s="20"/>
      <c r="E73" s="10"/>
      <c r="F73" s="20"/>
      <c r="G73" s="20"/>
      <c r="H73" s="20"/>
      <c r="I73" s="20"/>
      <c r="J73" s="20"/>
      <c r="K73" s="20"/>
      <c r="L73" s="10"/>
    </row>
    <row r="74" spans="2:15" ht="18" thickBot="1" x14ac:dyDescent="0.5">
      <c r="B74" s="918" t="s">
        <v>56</v>
      </c>
      <c r="C74" s="918" t="s">
        <v>57</v>
      </c>
      <c r="D74" s="921" t="s">
        <v>54</v>
      </c>
      <c r="E74" s="921"/>
      <c r="F74" s="921" t="s">
        <v>122</v>
      </c>
      <c r="G74" s="921"/>
      <c r="H74" s="922" t="s">
        <v>229</v>
      </c>
      <c r="I74" s="923"/>
      <c r="J74" s="20"/>
      <c r="K74" s="20"/>
      <c r="L74" s="10"/>
    </row>
    <row r="75" spans="2:15" ht="18" thickBot="1" x14ac:dyDescent="0.5">
      <c r="B75" s="919"/>
      <c r="C75" s="920"/>
      <c r="D75" s="880" t="s">
        <v>125</v>
      </c>
      <c r="E75" s="880" t="s">
        <v>126</v>
      </c>
      <c r="F75" s="880" t="s">
        <v>125</v>
      </c>
      <c r="G75" s="880" t="s">
        <v>126</v>
      </c>
      <c r="H75" s="880" t="s">
        <v>125</v>
      </c>
      <c r="I75" s="880" t="s">
        <v>126</v>
      </c>
      <c r="J75" s="52"/>
      <c r="K75" s="20"/>
      <c r="L75" s="10"/>
    </row>
    <row r="76" spans="2:15" ht="17.5" x14ac:dyDescent="0.45">
      <c r="B76" s="298" t="s">
        <v>61</v>
      </c>
      <c r="C76" s="300" t="s">
        <v>221</v>
      </c>
      <c r="D76" s="470">
        <v>15.811999999999999</v>
      </c>
      <c r="E76" s="470">
        <v>59.22</v>
      </c>
      <c r="F76" s="470">
        <v>3.3879999999999999</v>
      </c>
      <c r="G76" s="470">
        <v>7.3</v>
      </c>
      <c r="H76" s="470">
        <v>12.425000000000001</v>
      </c>
      <c r="I76" s="471">
        <v>51.86</v>
      </c>
      <c r="J76" s="10"/>
      <c r="K76" s="10"/>
      <c r="L76" s="10"/>
    </row>
    <row r="77" spans="2:15" ht="17.5" x14ac:dyDescent="0.45">
      <c r="B77" s="299" t="s">
        <v>62</v>
      </c>
      <c r="C77" s="183" t="s">
        <v>222</v>
      </c>
      <c r="D77" s="428">
        <v>0.55000000000000004</v>
      </c>
      <c r="E77" s="428">
        <v>0.09</v>
      </c>
      <c r="F77" s="428">
        <v>5.5E-2</v>
      </c>
      <c r="G77" s="428">
        <v>0.09</v>
      </c>
      <c r="H77" s="428">
        <v>0</v>
      </c>
      <c r="I77" s="472">
        <v>0</v>
      </c>
      <c r="J77" s="20"/>
      <c r="K77" s="363" t="s">
        <v>230</v>
      </c>
      <c r="L77" s="10"/>
    </row>
    <row r="78" spans="2:15" ht="17.5" x14ac:dyDescent="0.45">
      <c r="B78" s="299"/>
      <c r="C78" s="183" t="s">
        <v>223</v>
      </c>
      <c r="D78" s="428">
        <v>4.4139999999999997</v>
      </c>
      <c r="E78" s="428">
        <v>103.75</v>
      </c>
      <c r="F78" s="428">
        <v>4.4139999999999997</v>
      </c>
      <c r="G78" s="428">
        <v>72.95</v>
      </c>
      <c r="H78" s="428">
        <v>19</v>
      </c>
      <c r="I78" s="472">
        <v>30.8</v>
      </c>
      <c r="J78" s="20"/>
      <c r="K78" s="10"/>
      <c r="L78" s="10"/>
    </row>
    <row r="79" spans="2:15" ht="32" x14ac:dyDescent="0.45">
      <c r="B79" s="299"/>
      <c r="C79" s="183" t="s">
        <v>224</v>
      </c>
      <c r="D79" s="428">
        <v>7.9889999999999999</v>
      </c>
      <c r="E79" s="428">
        <v>85.67</v>
      </c>
      <c r="F79" s="428">
        <v>7.3929999999999998</v>
      </c>
      <c r="G79" s="428">
        <v>34.020000000000003</v>
      </c>
      <c r="H79" s="428">
        <v>0.59499999999999997</v>
      </c>
      <c r="I79" s="472">
        <v>51.65</v>
      </c>
      <c r="J79" s="20"/>
      <c r="K79" s="10"/>
      <c r="L79" s="10"/>
    </row>
    <row r="80" spans="2:15" ht="17.5" x14ac:dyDescent="0.45">
      <c r="B80" s="299"/>
      <c r="C80" s="183" t="s">
        <v>225</v>
      </c>
      <c r="D80" s="428">
        <v>2.1850000000000001</v>
      </c>
      <c r="E80" s="428">
        <v>77.069999999999993</v>
      </c>
      <c r="F80" s="428">
        <v>3.762</v>
      </c>
      <c r="G80" s="428">
        <v>18.47</v>
      </c>
      <c r="H80" s="428">
        <v>-1.577</v>
      </c>
      <c r="I80" s="472">
        <v>58.59</v>
      </c>
      <c r="J80" s="20"/>
      <c r="K80" s="10"/>
      <c r="L80" s="10"/>
    </row>
    <row r="81" spans="2:12" ht="17.5" x14ac:dyDescent="0.45">
      <c r="B81" s="299"/>
      <c r="C81" s="158" t="s">
        <v>226</v>
      </c>
      <c r="D81" s="473">
        <v>9.0150000000000006</v>
      </c>
      <c r="E81" s="473">
        <v>25.42</v>
      </c>
      <c r="F81" s="473">
        <v>2.9929999999999999</v>
      </c>
      <c r="G81" s="473">
        <v>4.42</v>
      </c>
      <c r="H81" s="473">
        <v>6.0220000000000002</v>
      </c>
      <c r="I81" s="474">
        <v>21.01</v>
      </c>
      <c r="J81" s="20"/>
      <c r="K81" s="10"/>
      <c r="L81" s="10"/>
    </row>
    <row r="82" spans="2:12" ht="17.5" x14ac:dyDescent="0.45">
      <c r="B82" s="298" t="s">
        <v>61</v>
      </c>
      <c r="C82" s="300" t="s">
        <v>221</v>
      </c>
      <c r="D82" s="470">
        <v>15.811999999999999</v>
      </c>
      <c r="E82" s="470">
        <v>59.22</v>
      </c>
      <c r="F82" s="470">
        <v>3.3879999999999999</v>
      </c>
      <c r="G82" s="470">
        <v>7.3</v>
      </c>
      <c r="H82" s="470">
        <v>12.425000000000001</v>
      </c>
      <c r="I82" s="471">
        <v>51.86</v>
      </c>
      <c r="J82" s="10"/>
      <c r="K82" s="10"/>
      <c r="L82" s="10"/>
    </row>
    <row r="83" spans="2:12" ht="17.5" x14ac:dyDescent="0.45">
      <c r="B83" s="299" t="s">
        <v>63</v>
      </c>
      <c r="C83" s="183" t="s">
        <v>222</v>
      </c>
      <c r="D83" s="428">
        <v>0.55000000000000004</v>
      </c>
      <c r="E83" s="428">
        <v>0.09</v>
      </c>
      <c r="F83" s="428">
        <v>5.5E-2</v>
      </c>
      <c r="G83" s="428">
        <v>0.09</v>
      </c>
      <c r="H83" s="428">
        <v>0</v>
      </c>
      <c r="I83" s="472">
        <v>0</v>
      </c>
      <c r="J83" s="20"/>
      <c r="K83" s="10"/>
      <c r="L83" s="10"/>
    </row>
    <row r="84" spans="2:12" ht="17.5" x14ac:dyDescent="0.45">
      <c r="B84" s="299"/>
      <c r="C84" s="183" t="s">
        <v>223</v>
      </c>
      <c r="D84" s="428">
        <v>4.4139999999999997</v>
      </c>
      <c r="E84" s="428">
        <v>103.75</v>
      </c>
      <c r="F84" s="428">
        <v>4.4139999999999997</v>
      </c>
      <c r="G84" s="428">
        <v>72.95</v>
      </c>
      <c r="H84" s="428">
        <v>19</v>
      </c>
      <c r="I84" s="472">
        <v>30.8</v>
      </c>
      <c r="J84" s="20"/>
      <c r="K84" s="10"/>
      <c r="L84" s="10"/>
    </row>
    <row r="85" spans="2:12" ht="32" x14ac:dyDescent="0.45">
      <c r="B85" s="299"/>
      <c r="C85" s="183" t="s">
        <v>224</v>
      </c>
      <c r="D85" s="428">
        <v>7.9889999999999999</v>
      </c>
      <c r="E85" s="428">
        <v>85.67</v>
      </c>
      <c r="F85" s="428">
        <v>7.3929999999999998</v>
      </c>
      <c r="G85" s="428">
        <v>34.020000000000003</v>
      </c>
      <c r="H85" s="428">
        <v>0.59499999999999997</v>
      </c>
      <c r="I85" s="472">
        <v>51.65</v>
      </c>
      <c r="J85" s="20"/>
      <c r="K85" s="10"/>
      <c r="L85" s="10"/>
    </row>
    <row r="86" spans="2:12" ht="17.5" x14ac:dyDescent="0.45">
      <c r="B86" s="299"/>
      <c r="C86" s="183" t="s">
        <v>225</v>
      </c>
      <c r="D86" s="428">
        <v>2.1850000000000001</v>
      </c>
      <c r="E86" s="428">
        <v>77.069999999999993</v>
      </c>
      <c r="F86" s="428">
        <v>3.762</v>
      </c>
      <c r="G86" s="428">
        <v>18.47</v>
      </c>
      <c r="H86" s="428">
        <v>-1.577</v>
      </c>
      <c r="I86" s="472">
        <v>58.59</v>
      </c>
      <c r="J86" s="20"/>
      <c r="K86" s="10"/>
      <c r="L86" s="10"/>
    </row>
    <row r="87" spans="2:12" ht="18" thickBot="1" x14ac:dyDescent="0.5">
      <c r="B87" s="299"/>
      <c r="C87" s="158" t="s">
        <v>226</v>
      </c>
      <c r="D87" s="473">
        <v>9.0150000000000006</v>
      </c>
      <c r="E87" s="473">
        <v>25.42</v>
      </c>
      <c r="F87" s="473">
        <v>2.9929999999999999</v>
      </c>
      <c r="G87" s="473">
        <v>4.42</v>
      </c>
      <c r="H87" s="473">
        <v>6.0220000000000002</v>
      </c>
      <c r="I87" s="474">
        <v>21.01</v>
      </c>
      <c r="J87" s="20"/>
      <c r="K87" s="10"/>
      <c r="L87" s="10"/>
    </row>
    <row r="88" spans="2:12" ht="17.5" x14ac:dyDescent="0.45">
      <c r="B88" s="298" t="s">
        <v>47</v>
      </c>
      <c r="C88" s="300" t="s">
        <v>221</v>
      </c>
      <c r="D88" s="428">
        <v>17.396999999999998</v>
      </c>
      <c r="E88" s="428">
        <v>71.819999999999993</v>
      </c>
      <c r="F88" s="428">
        <v>4.2590000000000003</v>
      </c>
      <c r="G88" s="428">
        <v>17.32</v>
      </c>
      <c r="H88" s="428">
        <v>13.138</v>
      </c>
      <c r="I88" s="472">
        <v>54.5</v>
      </c>
      <c r="J88" s="20"/>
      <c r="K88" s="10"/>
      <c r="L88" s="10"/>
    </row>
    <row r="89" spans="2:12" ht="17.5" x14ac:dyDescent="0.45">
      <c r="B89" s="299"/>
      <c r="C89" s="183" t="s">
        <v>222</v>
      </c>
      <c r="D89" s="428">
        <v>5.2999999999999999E-2</v>
      </c>
      <c r="E89" s="428">
        <v>0.08</v>
      </c>
      <c r="F89" s="428">
        <v>5.2999999999999999E-2</v>
      </c>
      <c r="G89" s="428">
        <v>0.08</v>
      </c>
      <c r="H89" s="428">
        <v>0</v>
      </c>
      <c r="I89" s="472">
        <v>0</v>
      </c>
      <c r="J89" s="20"/>
      <c r="K89" s="363" t="s">
        <v>230</v>
      </c>
      <c r="L89" s="10"/>
    </row>
    <row r="90" spans="2:12" ht="17.5" x14ac:dyDescent="0.45">
      <c r="B90" s="299"/>
      <c r="C90" s="183" t="s">
        <v>223</v>
      </c>
      <c r="D90" s="428">
        <v>5.266</v>
      </c>
      <c r="E90" s="428">
        <v>102.81</v>
      </c>
      <c r="F90" s="428">
        <v>4.1369999999999996</v>
      </c>
      <c r="G90" s="428">
        <v>70.78</v>
      </c>
      <c r="H90" s="428">
        <v>1.129</v>
      </c>
      <c r="I90" s="472">
        <v>32.020000000000003</v>
      </c>
      <c r="J90" s="20"/>
      <c r="K90" s="10"/>
      <c r="L90" s="10"/>
    </row>
    <row r="91" spans="2:12" ht="32" x14ac:dyDescent="0.45">
      <c r="B91" s="299"/>
      <c r="C91" s="183" t="s">
        <v>224</v>
      </c>
      <c r="D91" s="428">
        <v>10.25</v>
      </c>
      <c r="E91" s="428">
        <v>123.73</v>
      </c>
      <c r="F91" s="428">
        <v>9.3339999999999996</v>
      </c>
      <c r="G91" s="428">
        <v>59.94</v>
      </c>
      <c r="H91" s="428">
        <v>0.91600000000000004</v>
      </c>
      <c r="I91" s="472">
        <v>63.79</v>
      </c>
      <c r="J91" s="20"/>
      <c r="K91" s="10"/>
      <c r="L91" s="10"/>
    </row>
    <row r="92" spans="2:12" ht="17.5" x14ac:dyDescent="0.45">
      <c r="B92" s="299"/>
      <c r="C92" s="183" t="s">
        <v>225</v>
      </c>
      <c r="D92" s="428">
        <v>32.643999999999998</v>
      </c>
      <c r="E92" s="428">
        <v>137.21</v>
      </c>
      <c r="F92" s="428">
        <v>21.635000000000002</v>
      </c>
      <c r="G92" s="428">
        <v>50.5</v>
      </c>
      <c r="H92" s="428">
        <v>11.009</v>
      </c>
      <c r="I92" s="472">
        <v>86.71</v>
      </c>
      <c r="J92" s="20"/>
      <c r="K92" s="10"/>
      <c r="L92" s="10"/>
    </row>
    <row r="93" spans="2:12" ht="18" thickBot="1" x14ac:dyDescent="0.5">
      <c r="B93" s="299"/>
      <c r="C93" s="158" t="s">
        <v>226</v>
      </c>
      <c r="D93" s="473">
        <v>8.7989999999999995</v>
      </c>
      <c r="E93" s="473">
        <v>25.95</v>
      </c>
      <c r="F93" s="473">
        <v>2.488</v>
      </c>
      <c r="G93" s="473">
        <v>3.44</v>
      </c>
      <c r="H93" s="473">
        <v>6.3109999999999999</v>
      </c>
      <c r="I93" s="474">
        <v>22.51</v>
      </c>
      <c r="J93" s="20"/>
      <c r="K93" s="10"/>
      <c r="L93" s="10"/>
    </row>
    <row r="94" spans="2:12" ht="17.5" x14ac:dyDescent="0.45">
      <c r="B94" s="298" t="s">
        <v>48</v>
      </c>
      <c r="C94" s="300" t="s">
        <v>221</v>
      </c>
      <c r="D94" s="428">
        <v>17.396999999999998</v>
      </c>
      <c r="E94" s="428">
        <v>71.819999999999993</v>
      </c>
      <c r="F94" s="428">
        <v>4.2590000000000003</v>
      </c>
      <c r="G94" s="428">
        <v>17.32</v>
      </c>
      <c r="H94" s="428">
        <v>13.138</v>
      </c>
      <c r="I94" s="472">
        <v>54.5</v>
      </c>
      <c r="J94" s="10"/>
      <c r="K94" s="10"/>
      <c r="L94" s="10"/>
    </row>
    <row r="95" spans="2:12" ht="17.5" x14ac:dyDescent="0.45">
      <c r="B95" s="299"/>
      <c r="C95" s="183" t="s">
        <v>222</v>
      </c>
      <c r="D95" s="428">
        <v>5.2999999999999999E-2</v>
      </c>
      <c r="E95" s="428">
        <v>0.08</v>
      </c>
      <c r="F95" s="428">
        <v>5.2999999999999999E-2</v>
      </c>
      <c r="G95" s="428">
        <v>0.08</v>
      </c>
      <c r="H95" s="428">
        <v>0</v>
      </c>
      <c r="I95" s="472">
        <v>0</v>
      </c>
      <c r="J95" s="20"/>
      <c r="K95" s="10"/>
      <c r="L95" s="10"/>
    </row>
    <row r="96" spans="2:12" ht="17.5" x14ac:dyDescent="0.45">
      <c r="B96" s="299"/>
      <c r="C96" s="183" t="s">
        <v>223</v>
      </c>
      <c r="D96" s="428">
        <v>5.266</v>
      </c>
      <c r="E96" s="428">
        <v>102.81</v>
      </c>
      <c r="F96" s="428">
        <v>4.1369999999999996</v>
      </c>
      <c r="G96" s="428">
        <v>70.78</v>
      </c>
      <c r="H96" s="428">
        <v>1.129</v>
      </c>
      <c r="I96" s="472">
        <v>32.020000000000003</v>
      </c>
      <c r="J96" s="20"/>
      <c r="K96" s="10"/>
      <c r="L96" s="10"/>
    </row>
    <row r="97" spans="2:12" ht="32" x14ac:dyDescent="0.45">
      <c r="B97" s="299"/>
      <c r="C97" s="183" t="s">
        <v>224</v>
      </c>
      <c r="D97" s="428">
        <v>10.25</v>
      </c>
      <c r="E97" s="428">
        <v>123.73</v>
      </c>
      <c r="F97" s="428">
        <v>9.3339999999999996</v>
      </c>
      <c r="G97" s="428">
        <v>59.94</v>
      </c>
      <c r="H97" s="428">
        <v>0.91600000000000004</v>
      </c>
      <c r="I97" s="472">
        <v>63.79</v>
      </c>
      <c r="J97" s="20"/>
      <c r="K97" s="10"/>
      <c r="L97" s="10"/>
    </row>
    <row r="98" spans="2:12" ht="17.5" x14ac:dyDescent="0.45">
      <c r="B98" s="299"/>
      <c r="C98" s="183" t="s">
        <v>225</v>
      </c>
      <c r="D98" s="428">
        <v>32.643999999999998</v>
      </c>
      <c r="E98" s="428">
        <v>137.21</v>
      </c>
      <c r="F98" s="428">
        <v>21.635000000000002</v>
      </c>
      <c r="G98" s="428">
        <v>50.5</v>
      </c>
      <c r="H98" s="428">
        <v>11.009</v>
      </c>
      <c r="I98" s="472">
        <v>86.71</v>
      </c>
      <c r="J98" s="20"/>
      <c r="K98" s="10"/>
      <c r="L98" s="10"/>
    </row>
    <row r="99" spans="2:12" ht="18" thickBot="1" x14ac:dyDescent="0.5">
      <c r="B99" s="299"/>
      <c r="C99" s="158" t="s">
        <v>226</v>
      </c>
      <c r="D99" s="428">
        <v>8.7989999999999995</v>
      </c>
      <c r="E99" s="428">
        <v>25.95</v>
      </c>
      <c r="F99" s="428">
        <v>2.488</v>
      </c>
      <c r="G99" s="428">
        <v>3.44</v>
      </c>
      <c r="H99" s="428">
        <v>6.3109999999999999</v>
      </c>
      <c r="I99" s="472">
        <v>22.51</v>
      </c>
      <c r="J99" s="20"/>
      <c r="K99" s="10"/>
      <c r="L99" s="10"/>
    </row>
    <row r="100" spans="2:12" ht="17.5" x14ac:dyDescent="0.45">
      <c r="B100" s="298" t="s">
        <v>49</v>
      </c>
      <c r="C100" s="300" t="s">
        <v>221</v>
      </c>
      <c r="D100" s="301"/>
      <c r="E100" s="301"/>
      <c r="F100" s="301"/>
      <c r="G100" s="301"/>
      <c r="H100" s="301"/>
      <c r="I100" s="302"/>
      <c r="J100" s="10"/>
      <c r="K100" s="10"/>
      <c r="L100" s="10"/>
    </row>
    <row r="101" spans="2:12" ht="17.5" x14ac:dyDescent="0.45">
      <c r="B101" s="299"/>
      <c r="C101" s="183" t="s">
        <v>222</v>
      </c>
      <c r="D101" s="176"/>
      <c r="E101" s="176"/>
      <c r="F101" s="176"/>
      <c r="G101" s="176"/>
      <c r="H101" s="176"/>
      <c r="I101" s="303"/>
      <c r="J101" s="20"/>
      <c r="K101" s="10"/>
      <c r="L101" s="10"/>
    </row>
    <row r="102" spans="2:12" ht="17.5" x14ac:dyDescent="0.45">
      <c r="B102" s="299"/>
      <c r="C102" s="183" t="s">
        <v>223</v>
      </c>
      <c r="D102" s="176"/>
      <c r="E102" s="176"/>
      <c r="F102" s="176"/>
      <c r="G102" s="176"/>
      <c r="H102" s="176"/>
      <c r="I102" s="303"/>
      <c r="J102" s="20"/>
      <c r="K102" s="10"/>
      <c r="L102" s="10"/>
    </row>
    <row r="103" spans="2:12" ht="32" x14ac:dyDescent="0.45">
      <c r="B103" s="299"/>
      <c r="C103" s="183" t="s">
        <v>224</v>
      </c>
      <c r="D103" s="176"/>
      <c r="E103" s="176"/>
      <c r="F103" s="176"/>
      <c r="G103" s="176"/>
      <c r="H103" s="176"/>
      <c r="I103" s="303"/>
      <c r="J103" s="20"/>
      <c r="K103" s="10"/>
      <c r="L103" s="10"/>
    </row>
    <row r="104" spans="2:12" ht="17.5" x14ac:dyDescent="0.45">
      <c r="B104" s="299"/>
      <c r="C104" s="183" t="s">
        <v>225</v>
      </c>
      <c r="D104" s="176"/>
      <c r="E104" s="176"/>
      <c r="F104" s="176"/>
      <c r="G104" s="176"/>
      <c r="H104" s="176"/>
      <c r="I104" s="303"/>
      <c r="J104" s="20"/>
      <c r="K104" s="10"/>
      <c r="L104" s="10"/>
    </row>
    <row r="105" spans="2:12" ht="18" thickBot="1" x14ac:dyDescent="0.5">
      <c r="B105" s="299"/>
      <c r="C105" s="158" t="s">
        <v>226</v>
      </c>
      <c r="D105" s="304"/>
      <c r="E105" s="304"/>
      <c r="F105" s="304"/>
      <c r="G105" s="304"/>
      <c r="H105" s="304"/>
      <c r="I105" s="305"/>
      <c r="J105" s="20"/>
      <c r="K105" s="10"/>
      <c r="L105" s="10"/>
    </row>
    <row r="106" spans="2:12" ht="17.5" x14ac:dyDescent="0.45">
      <c r="B106" s="33" t="s">
        <v>50</v>
      </c>
      <c r="C106" s="300" t="s">
        <v>221</v>
      </c>
      <c r="D106" s="301"/>
      <c r="E106" s="301"/>
      <c r="F106" s="301"/>
      <c r="G106" s="301"/>
      <c r="H106" s="301"/>
      <c r="I106" s="302"/>
      <c r="J106" s="53"/>
      <c r="K106" s="10"/>
      <c r="L106" s="10"/>
    </row>
    <row r="107" spans="2:12" ht="17.5" x14ac:dyDescent="0.45">
      <c r="B107" s="31"/>
      <c r="C107" s="183" t="s">
        <v>222</v>
      </c>
      <c r="D107" s="176"/>
      <c r="E107" s="176"/>
      <c r="F107" s="176"/>
      <c r="G107" s="176"/>
      <c r="H107" s="176"/>
      <c r="I107" s="303"/>
      <c r="J107" s="20"/>
      <c r="K107" s="10"/>
      <c r="L107" s="10"/>
    </row>
    <row r="108" spans="2:12" ht="17.5" x14ac:dyDescent="0.45">
      <c r="B108" s="31"/>
      <c r="C108" s="183" t="s">
        <v>223</v>
      </c>
      <c r="D108" s="176"/>
      <c r="E108" s="176"/>
      <c r="F108" s="176"/>
      <c r="G108" s="176"/>
      <c r="H108" s="176"/>
      <c r="I108" s="303"/>
      <c r="J108" s="20"/>
      <c r="K108" s="10"/>
      <c r="L108" s="10"/>
    </row>
    <row r="109" spans="2:12" ht="32" x14ac:dyDescent="0.45">
      <c r="B109" s="31"/>
      <c r="C109" s="183" t="s">
        <v>224</v>
      </c>
      <c r="D109" s="176"/>
      <c r="E109" s="176"/>
      <c r="F109" s="176"/>
      <c r="G109" s="176"/>
      <c r="H109" s="176"/>
      <c r="I109" s="303"/>
      <c r="J109" s="20"/>
      <c r="K109" s="10"/>
      <c r="L109" s="10"/>
    </row>
    <row r="110" spans="2:12" ht="17.5" x14ac:dyDescent="0.45">
      <c r="B110" s="31"/>
      <c r="C110" s="183" t="s">
        <v>225</v>
      </c>
      <c r="D110" s="176"/>
      <c r="E110" s="176"/>
      <c r="F110" s="176"/>
      <c r="G110" s="176"/>
      <c r="H110" s="176"/>
      <c r="I110" s="303"/>
      <c r="J110" s="20"/>
      <c r="K110" s="10"/>
      <c r="L110" s="10"/>
    </row>
    <row r="111" spans="2:12" ht="18" thickBot="1" x14ac:dyDescent="0.5">
      <c r="B111" s="31"/>
      <c r="C111" s="158" t="s">
        <v>226</v>
      </c>
      <c r="D111" s="304"/>
      <c r="E111" s="304"/>
      <c r="F111" s="304"/>
      <c r="G111" s="304"/>
      <c r="H111" s="304"/>
      <c r="I111" s="305"/>
      <c r="J111" s="20"/>
      <c r="K111" s="20"/>
      <c r="L111" s="10"/>
    </row>
    <row r="112" spans="2:12" ht="17.5" x14ac:dyDescent="0.45">
      <c r="B112" s="306" t="s">
        <v>220</v>
      </c>
      <c r="C112" s="300" t="s">
        <v>221</v>
      </c>
      <c r="D112" s="301"/>
      <c r="E112" s="301"/>
      <c r="F112" s="301"/>
      <c r="G112" s="301"/>
      <c r="H112" s="301"/>
      <c r="I112" s="302"/>
      <c r="J112" s="54"/>
      <c r="K112" s="20"/>
      <c r="L112" s="10"/>
    </row>
    <row r="113" spans="2:12" ht="17.5" x14ac:dyDescent="0.45">
      <c r="B113" s="307" t="s">
        <v>231</v>
      </c>
      <c r="C113" s="183" t="s">
        <v>222</v>
      </c>
      <c r="D113" s="176"/>
      <c r="E113" s="176"/>
      <c r="F113" s="176"/>
      <c r="G113" s="176"/>
      <c r="H113" s="176"/>
      <c r="I113" s="303"/>
      <c r="J113" s="20"/>
      <c r="K113" s="20"/>
      <c r="L113" s="10"/>
    </row>
    <row r="114" spans="2:12" ht="17.5" x14ac:dyDescent="0.45">
      <c r="B114" s="157"/>
      <c r="C114" s="183" t="s">
        <v>223</v>
      </c>
      <c r="D114" s="176"/>
      <c r="E114" s="176"/>
      <c r="F114" s="176"/>
      <c r="G114" s="176"/>
      <c r="H114" s="176"/>
      <c r="I114" s="303"/>
      <c r="J114" s="20"/>
      <c r="K114" s="20"/>
      <c r="L114" s="10"/>
    </row>
    <row r="115" spans="2:12" ht="32" x14ac:dyDescent="0.45">
      <c r="B115" s="157"/>
      <c r="C115" s="183" t="s">
        <v>224</v>
      </c>
      <c r="D115" s="176"/>
      <c r="E115" s="176"/>
      <c r="F115" s="176"/>
      <c r="G115" s="176"/>
      <c r="H115" s="176"/>
      <c r="I115" s="303"/>
      <c r="J115" s="20"/>
      <c r="K115" s="20"/>
      <c r="L115" s="10"/>
    </row>
    <row r="116" spans="2:12" ht="17.5" x14ac:dyDescent="0.45">
      <c r="B116" s="157"/>
      <c r="C116" s="183" t="s">
        <v>225</v>
      </c>
      <c r="D116" s="176"/>
      <c r="E116" s="176"/>
      <c r="F116" s="176"/>
      <c r="G116" s="176"/>
      <c r="H116" s="176"/>
      <c r="I116" s="303"/>
      <c r="J116" s="20"/>
      <c r="K116" s="20"/>
      <c r="L116" s="10"/>
    </row>
    <row r="117" spans="2:12" ht="18" thickBot="1" x14ac:dyDescent="0.5">
      <c r="B117" s="184"/>
      <c r="C117" s="158" t="s">
        <v>226</v>
      </c>
      <c r="D117" s="304"/>
      <c r="E117" s="304"/>
      <c r="F117" s="304"/>
      <c r="G117" s="304"/>
      <c r="H117" s="304"/>
      <c r="I117" s="305"/>
      <c r="J117" s="20"/>
      <c r="K117" s="20"/>
      <c r="L117" s="10"/>
    </row>
    <row r="118" spans="2:12" ht="17.5" x14ac:dyDescent="0.45">
      <c r="B118" s="306" t="s">
        <v>232</v>
      </c>
      <c r="C118" s="300" t="s">
        <v>221</v>
      </c>
      <c r="D118" s="301"/>
      <c r="E118" s="301"/>
      <c r="F118" s="301"/>
      <c r="G118" s="301"/>
      <c r="H118" s="301"/>
      <c r="I118" s="302"/>
      <c r="J118" s="20"/>
      <c r="K118" s="20"/>
      <c r="L118" s="10"/>
    </row>
    <row r="119" spans="2:12" ht="17.5" x14ac:dyDescent="0.45">
      <c r="B119" s="307" t="s">
        <v>233</v>
      </c>
      <c r="C119" s="183" t="s">
        <v>222</v>
      </c>
      <c r="D119" s="176"/>
      <c r="E119" s="176"/>
      <c r="F119" s="176"/>
      <c r="G119" s="176"/>
      <c r="H119" s="176"/>
      <c r="I119" s="303"/>
      <c r="J119" s="20"/>
      <c r="K119" s="20"/>
      <c r="L119" s="10"/>
    </row>
    <row r="120" spans="2:12" ht="17.5" x14ac:dyDescent="0.45">
      <c r="B120" s="157"/>
      <c r="C120" s="183" t="s">
        <v>223</v>
      </c>
      <c r="D120" s="176"/>
      <c r="E120" s="176"/>
      <c r="F120" s="176"/>
      <c r="G120" s="176"/>
      <c r="H120" s="176"/>
      <c r="I120" s="303"/>
      <c r="J120" s="20"/>
      <c r="K120" s="20"/>
      <c r="L120" s="10"/>
    </row>
    <row r="121" spans="2:12" ht="32" x14ac:dyDescent="0.45">
      <c r="B121" s="157"/>
      <c r="C121" s="183" t="s">
        <v>224</v>
      </c>
      <c r="D121" s="176"/>
      <c r="E121" s="176"/>
      <c r="F121" s="176"/>
      <c r="G121" s="176"/>
      <c r="H121" s="176"/>
      <c r="I121" s="303"/>
      <c r="J121" s="20"/>
      <c r="K121" s="20"/>
      <c r="L121" s="10"/>
    </row>
    <row r="122" spans="2:12" ht="17.5" x14ac:dyDescent="0.45">
      <c r="B122" s="157"/>
      <c r="C122" s="183" t="s">
        <v>225</v>
      </c>
      <c r="D122" s="176"/>
      <c r="E122" s="176"/>
      <c r="F122" s="176"/>
      <c r="G122" s="176"/>
      <c r="H122" s="176"/>
      <c r="I122" s="303"/>
      <c r="J122" s="20"/>
      <c r="K122" s="20"/>
      <c r="L122" s="10"/>
    </row>
    <row r="123" spans="2:12" ht="18" thickBot="1" x14ac:dyDescent="0.5">
      <c r="B123" s="184"/>
      <c r="C123" s="158" t="s">
        <v>226</v>
      </c>
      <c r="D123" s="304"/>
      <c r="E123" s="304"/>
      <c r="F123" s="304"/>
      <c r="G123" s="304"/>
      <c r="H123" s="304"/>
      <c r="I123" s="305"/>
      <c r="J123" s="20"/>
      <c r="K123" s="20"/>
      <c r="L123" s="10"/>
    </row>
    <row r="124" spans="2:12" ht="17.5" x14ac:dyDescent="0.45">
      <c r="B124" s="19"/>
      <c r="C124" s="19"/>
      <c r="D124" s="20"/>
      <c r="E124" s="20"/>
      <c r="F124" s="20"/>
      <c r="G124" s="20"/>
      <c r="H124" s="20"/>
      <c r="I124" s="20"/>
      <c r="J124" s="10"/>
      <c r="K124" s="20"/>
      <c r="L124" s="10"/>
    </row>
    <row r="125" spans="2:12" s="15" customFormat="1" ht="21" x14ac:dyDescent="0.45">
      <c r="B125" s="152" t="s">
        <v>153</v>
      </c>
      <c r="C125" s="152"/>
      <c r="D125" s="17"/>
      <c r="E125" s="17"/>
      <c r="F125" s="17"/>
      <c r="G125" s="17"/>
      <c r="H125" s="17"/>
      <c r="I125" s="17"/>
      <c r="J125" s="17"/>
      <c r="K125" s="17"/>
      <c r="L125" s="29"/>
    </row>
    <row r="126" spans="2:12" ht="6.75" customHeight="1" x14ac:dyDescent="0.45">
      <c r="B126" s="50"/>
      <c r="C126" s="50"/>
      <c r="D126" s="20"/>
      <c r="E126" s="20"/>
      <c r="F126" s="20"/>
      <c r="G126" s="20"/>
      <c r="H126" s="20"/>
      <c r="I126" s="20"/>
      <c r="J126" s="20"/>
      <c r="K126" s="20"/>
      <c r="L126" s="10"/>
    </row>
    <row r="127" spans="2:12" s="15" customFormat="1" ht="17.5" x14ac:dyDescent="0.45">
      <c r="B127" s="21" t="s">
        <v>24</v>
      </c>
      <c r="C127" s="21"/>
      <c r="D127" s="17"/>
      <c r="E127" s="17"/>
      <c r="F127" s="17"/>
      <c r="G127" s="17"/>
      <c r="H127" s="17"/>
      <c r="I127" s="17"/>
      <c r="J127" s="17"/>
      <c r="K127" s="17"/>
      <c r="L127" s="29"/>
    </row>
    <row r="128" spans="2:12" ht="6" customHeight="1" thickBot="1" x14ac:dyDescent="0.5">
      <c r="B128" s="19"/>
      <c r="C128" s="19"/>
      <c r="D128" s="20"/>
      <c r="E128" s="10"/>
      <c r="F128" s="20"/>
      <c r="G128" s="20"/>
      <c r="H128" s="20"/>
      <c r="I128" s="20"/>
      <c r="J128" s="20"/>
      <c r="K128" s="20"/>
      <c r="L128" s="10"/>
    </row>
    <row r="129" spans="2:12" ht="32" x14ac:dyDescent="0.45">
      <c r="B129" s="205" t="s">
        <v>56</v>
      </c>
      <c r="C129" s="205" t="s">
        <v>75</v>
      </c>
      <c r="D129" s="205" t="s">
        <v>154</v>
      </c>
      <c r="E129" s="205" t="s">
        <v>155</v>
      </c>
      <c r="F129" s="205" t="s">
        <v>234</v>
      </c>
      <c r="G129" s="205" t="s">
        <v>156</v>
      </c>
      <c r="H129" s="20"/>
      <c r="I129" s="20"/>
      <c r="J129" s="20"/>
      <c r="K129" s="20"/>
      <c r="L129" s="10"/>
    </row>
    <row r="130" spans="2:12" ht="17.5" x14ac:dyDescent="0.45">
      <c r="B130" s="308" t="s">
        <v>61</v>
      </c>
      <c r="C130" s="165" t="s">
        <v>221</v>
      </c>
      <c r="D130" s="284">
        <f>6146-40-8-27</f>
        <v>6071</v>
      </c>
      <c r="E130" s="284">
        <f>18895-322-42-8</f>
        <v>18523</v>
      </c>
      <c r="F130" s="284">
        <v>1</v>
      </c>
      <c r="G130" s="284">
        <v>21</v>
      </c>
      <c r="H130" s="20"/>
      <c r="I130" s="20"/>
      <c r="J130" s="20"/>
      <c r="K130" s="20"/>
      <c r="L130" s="10"/>
    </row>
    <row r="131" spans="2:12" ht="17.5" x14ac:dyDescent="0.45">
      <c r="B131" s="308" t="s">
        <v>62</v>
      </c>
      <c r="C131" s="165" t="s">
        <v>222</v>
      </c>
      <c r="D131" s="284">
        <v>0</v>
      </c>
      <c r="E131" s="284">
        <v>0</v>
      </c>
      <c r="F131" s="284">
        <v>0</v>
      </c>
      <c r="G131" s="284">
        <v>0</v>
      </c>
      <c r="H131" s="367" t="s">
        <v>235</v>
      </c>
      <c r="I131" s="20"/>
      <c r="J131" s="20"/>
      <c r="K131" s="20"/>
      <c r="L131" s="10"/>
    </row>
    <row r="132" spans="2:12" ht="17.5" x14ac:dyDescent="0.45">
      <c r="B132" s="308"/>
      <c r="C132" s="165" t="s">
        <v>223</v>
      </c>
      <c r="D132" s="284">
        <v>8853.6</v>
      </c>
      <c r="E132" s="284">
        <v>7921.7</v>
      </c>
      <c r="F132" s="284">
        <v>342</v>
      </c>
      <c r="G132" s="284">
        <v>0</v>
      </c>
      <c r="H132" s="20"/>
      <c r="I132" s="20"/>
      <c r="J132" s="20"/>
      <c r="K132" s="20"/>
      <c r="L132" s="10"/>
    </row>
    <row r="133" spans="2:12" ht="32" x14ac:dyDescent="0.45">
      <c r="B133" s="308"/>
      <c r="C133" s="165" t="s">
        <v>224</v>
      </c>
      <c r="D133" s="284">
        <v>1643.4</v>
      </c>
      <c r="E133" s="284">
        <v>24940.1</v>
      </c>
      <c r="F133" s="284">
        <v>1837</v>
      </c>
      <c r="G133" s="284">
        <v>10</v>
      </c>
      <c r="H133" s="20"/>
      <c r="I133" s="20"/>
      <c r="J133" s="20"/>
      <c r="K133" s="20"/>
      <c r="L133" s="10"/>
    </row>
    <row r="134" spans="2:12" ht="17.5" x14ac:dyDescent="0.45">
      <c r="B134" s="308"/>
      <c r="C134" s="165" t="s">
        <v>225</v>
      </c>
      <c r="D134" s="284"/>
      <c r="E134" s="284"/>
      <c r="F134" s="284"/>
      <c r="G134" s="284"/>
      <c r="H134" s="20"/>
      <c r="I134" s="20"/>
      <c r="J134" s="20"/>
      <c r="K134" s="20"/>
      <c r="L134" s="10"/>
    </row>
    <row r="135" spans="2:12" ht="18" thickBot="1" x14ac:dyDescent="0.5">
      <c r="B135" s="276"/>
      <c r="C135" s="276" t="s">
        <v>226</v>
      </c>
      <c r="D135" s="285"/>
      <c r="E135" s="285"/>
      <c r="F135" s="285"/>
      <c r="G135" s="285"/>
      <c r="H135" s="20"/>
      <c r="I135" s="20"/>
      <c r="J135" s="20"/>
      <c r="K135" s="20"/>
      <c r="L135" s="10"/>
    </row>
    <row r="136" spans="2:12" ht="17.5" x14ac:dyDescent="0.45">
      <c r="B136" s="308" t="s">
        <v>61</v>
      </c>
      <c r="C136" s="165" t="s">
        <v>221</v>
      </c>
      <c r="D136" s="284"/>
      <c r="E136" s="284"/>
      <c r="F136" s="284"/>
      <c r="G136" s="284"/>
      <c r="H136" s="20"/>
      <c r="I136" s="20"/>
      <c r="J136" s="20"/>
      <c r="K136" s="20"/>
      <c r="L136" s="10"/>
    </row>
    <row r="137" spans="2:12" ht="17.5" x14ac:dyDescent="0.45">
      <c r="B137" s="308" t="s">
        <v>63</v>
      </c>
      <c r="C137" s="165" t="s">
        <v>222</v>
      </c>
      <c r="D137" s="284"/>
      <c r="E137" s="284"/>
      <c r="F137" s="284"/>
      <c r="G137" s="284"/>
      <c r="H137" s="20"/>
      <c r="I137" s="20"/>
      <c r="J137" s="20"/>
      <c r="K137" s="20"/>
      <c r="L137" s="10"/>
    </row>
    <row r="138" spans="2:12" ht="17.5" x14ac:dyDescent="0.45">
      <c r="B138" s="308"/>
      <c r="C138" s="165" t="s">
        <v>223</v>
      </c>
      <c r="D138" s="284"/>
      <c r="E138" s="284"/>
      <c r="F138" s="284"/>
      <c r="G138" s="284"/>
      <c r="H138" s="20"/>
      <c r="I138" s="20"/>
      <c r="J138" s="20"/>
      <c r="K138" s="20"/>
      <c r="L138" s="10"/>
    </row>
    <row r="139" spans="2:12" ht="32" x14ac:dyDescent="0.45">
      <c r="B139" s="308"/>
      <c r="C139" s="165" t="s">
        <v>224</v>
      </c>
      <c r="D139" s="284"/>
      <c r="E139" s="284"/>
      <c r="F139" s="284"/>
      <c r="G139" s="284"/>
      <c r="H139" s="20"/>
      <c r="I139" s="20"/>
      <c r="J139" s="20"/>
      <c r="K139" s="20"/>
      <c r="L139" s="10"/>
    </row>
    <row r="140" spans="2:12" ht="17.5" x14ac:dyDescent="0.45">
      <c r="B140" s="308"/>
      <c r="C140" s="165" t="s">
        <v>225</v>
      </c>
      <c r="D140" s="284"/>
      <c r="E140" s="284"/>
      <c r="F140" s="284"/>
      <c r="G140" s="284"/>
      <c r="H140" s="20"/>
      <c r="I140" s="20"/>
      <c r="J140" s="20"/>
      <c r="K140" s="20"/>
      <c r="L140" s="10"/>
    </row>
    <row r="141" spans="2:12" ht="18" thickBot="1" x14ac:dyDescent="0.5">
      <c r="B141" s="276"/>
      <c r="C141" s="276" t="s">
        <v>226</v>
      </c>
      <c r="D141" s="285"/>
      <c r="E141" s="285"/>
      <c r="F141" s="285"/>
      <c r="G141" s="285"/>
      <c r="H141" s="20"/>
      <c r="I141" s="20"/>
      <c r="J141" s="20"/>
      <c r="K141" s="20"/>
      <c r="L141" s="10"/>
    </row>
    <row r="142" spans="2:12" ht="17.5" x14ac:dyDescent="0.45">
      <c r="B142" s="399" t="s">
        <v>47</v>
      </c>
      <c r="C142" s="398" t="s">
        <v>221</v>
      </c>
      <c r="D142" s="448"/>
      <c r="E142" s="448"/>
      <c r="F142" s="448"/>
      <c r="G142" s="448"/>
      <c r="H142" s="20"/>
      <c r="I142" s="20"/>
      <c r="J142" s="20"/>
      <c r="K142" s="20"/>
      <c r="L142" s="10"/>
    </row>
    <row r="143" spans="2:12" ht="17.5" x14ac:dyDescent="0.45">
      <c r="B143" s="308"/>
      <c r="C143" s="165" t="s">
        <v>222</v>
      </c>
      <c r="D143" s="284"/>
      <c r="E143" s="284"/>
      <c r="F143" s="284"/>
      <c r="G143" s="284"/>
      <c r="H143" s="20"/>
      <c r="I143" s="20"/>
      <c r="J143" s="20"/>
      <c r="K143" s="20"/>
      <c r="L143" s="10"/>
    </row>
    <row r="144" spans="2:12" ht="17.5" x14ac:dyDescent="0.45">
      <c r="B144" s="308"/>
      <c r="C144" s="165" t="s">
        <v>223</v>
      </c>
      <c r="D144" s="284"/>
      <c r="E144" s="284"/>
      <c r="F144" s="284"/>
      <c r="G144" s="284"/>
      <c r="H144" s="20"/>
      <c r="I144" s="20"/>
      <c r="J144" s="20"/>
      <c r="K144" s="20"/>
      <c r="L144" s="10"/>
    </row>
    <row r="145" spans="2:12" ht="32" x14ac:dyDescent="0.45">
      <c r="B145" s="308"/>
      <c r="C145" s="165" t="s">
        <v>224</v>
      </c>
      <c r="D145" s="284">
        <v>1771.8</v>
      </c>
      <c r="E145" s="284">
        <v>23817.4</v>
      </c>
      <c r="F145" s="284">
        <v>1604</v>
      </c>
      <c r="G145" s="284">
        <v>6.4</v>
      </c>
      <c r="H145" s="20"/>
      <c r="I145" s="20"/>
      <c r="J145" s="20"/>
      <c r="K145" s="20"/>
      <c r="L145" s="10"/>
    </row>
    <row r="146" spans="2:12" ht="17.5" x14ac:dyDescent="0.45">
      <c r="B146" s="308"/>
      <c r="C146" s="165" t="s">
        <v>225</v>
      </c>
      <c r="D146" s="284"/>
      <c r="E146" s="284"/>
      <c r="F146" s="284"/>
      <c r="G146" s="284"/>
      <c r="H146" s="20"/>
      <c r="I146" s="20"/>
      <c r="J146" s="20"/>
      <c r="K146" s="20"/>
      <c r="L146" s="10"/>
    </row>
    <row r="147" spans="2:12" ht="18" thickBot="1" x14ac:dyDescent="0.5">
      <c r="B147" s="276"/>
      <c r="C147" s="276" t="s">
        <v>226</v>
      </c>
      <c r="D147" s="285"/>
      <c r="E147" s="285"/>
      <c r="F147" s="285"/>
      <c r="G147" s="285"/>
      <c r="H147" s="20"/>
      <c r="I147" s="20"/>
      <c r="J147" s="20"/>
      <c r="K147" s="20"/>
      <c r="L147" s="10"/>
    </row>
    <row r="148" spans="2:12" ht="17.5" x14ac:dyDescent="0.45">
      <c r="B148" s="308" t="s">
        <v>48</v>
      </c>
      <c r="C148" s="165" t="s">
        <v>221</v>
      </c>
      <c r="D148" s="284"/>
      <c r="E148" s="284"/>
      <c r="F148" s="284"/>
      <c r="G148" s="284"/>
      <c r="H148" s="20"/>
      <c r="I148" s="20"/>
      <c r="J148" s="20"/>
      <c r="K148" s="20"/>
      <c r="L148" s="10"/>
    </row>
    <row r="149" spans="2:12" ht="17.5" x14ac:dyDescent="0.45">
      <c r="B149" s="308"/>
      <c r="C149" s="165" t="s">
        <v>222</v>
      </c>
      <c r="D149" s="284"/>
      <c r="E149" s="284"/>
      <c r="F149" s="284"/>
      <c r="G149" s="284"/>
      <c r="H149" s="20"/>
      <c r="I149" s="20"/>
      <c r="J149" s="20"/>
      <c r="K149" s="20"/>
      <c r="L149" s="10"/>
    </row>
    <row r="150" spans="2:12" ht="17.5" x14ac:dyDescent="0.45">
      <c r="B150" s="308"/>
      <c r="C150" s="165" t="s">
        <v>223</v>
      </c>
      <c r="D150" s="284"/>
      <c r="E150" s="284"/>
      <c r="F150" s="284"/>
      <c r="G150" s="284"/>
      <c r="H150" s="20"/>
      <c r="I150" s="20"/>
      <c r="J150" s="20"/>
      <c r="K150" s="20"/>
      <c r="L150" s="10"/>
    </row>
    <row r="151" spans="2:12" ht="32" x14ac:dyDescent="0.45">
      <c r="B151" s="308"/>
      <c r="C151" s="165" t="s">
        <v>224</v>
      </c>
      <c r="D151" s="284"/>
      <c r="E151" s="284"/>
      <c r="F151" s="284"/>
      <c r="G151" s="284"/>
      <c r="H151" s="20"/>
      <c r="I151" s="20"/>
      <c r="J151" s="20"/>
      <c r="K151" s="20"/>
      <c r="L151" s="10"/>
    </row>
    <row r="152" spans="2:12" ht="17.5" x14ac:dyDescent="0.45">
      <c r="B152" s="308"/>
      <c r="C152" s="165" t="s">
        <v>225</v>
      </c>
      <c r="D152" s="284"/>
      <c r="E152" s="284"/>
      <c r="F152" s="284"/>
      <c r="G152" s="284"/>
      <c r="H152" s="20"/>
      <c r="I152" s="20"/>
      <c r="J152" s="20"/>
      <c r="K152" s="20"/>
      <c r="L152" s="10"/>
    </row>
    <row r="153" spans="2:12" ht="18" thickBot="1" x14ac:dyDescent="0.5">
      <c r="B153" s="276"/>
      <c r="C153" s="276" t="s">
        <v>226</v>
      </c>
      <c r="D153" s="285"/>
      <c r="E153" s="285"/>
      <c r="F153" s="285"/>
      <c r="G153" s="285"/>
      <c r="H153" s="20"/>
      <c r="I153" s="20"/>
      <c r="J153" s="20"/>
      <c r="K153" s="20"/>
      <c r="L153" s="10"/>
    </row>
    <row r="154" spans="2:12" ht="17.5" x14ac:dyDescent="0.45">
      <c r="B154" s="308" t="s">
        <v>49</v>
      </c>
      <c r="C154" s="165" t="s">
        <v>221</v>
      </c>
      <c r="D154" s="284"/>
      <c r="E154" s="284"/>
      <c r="F154" s="284"/>
      <c r="G154" s="284"/>
      <c r="H154" s="20"/>
      <c r="I154" s="20"/>
      <c r="J154" s="20"/>
      <c r="K154" s="20"/>
      <c r="L154" s="10"/>
    </row>
    <row r="155" spans="2:12" ht="17.5" x14ac:dyDescent="0.45">
      <c r="B155" s="308"/>
      <c r="C155" s="165" t="s">
        <v>222</v>
      </c>
      <c r="D155" s="284"/>
      <c r="E155" s="284"/>
      <c r="F155" s="284"/>
      <c r="G155" s="284"/>
      <c r="H155" s="20"/>
      <c r="I155" s="20"/>
      <c r="J155" s="20"/>
      <c r="K155" s="20"/>
      <c r="L155" s="10"/>
    </row>
    <row r="156" spans="2:12" ht="17.5" x14ac:dyDescent="0.45">
      <c r="B156" s="308"/>
      <c r="C156" s="165" t="s">
        <v>223</v>
      </c>
      <c r="D156" s="284"/>
      <c r="E156" s="284"/>
      <c r="F156" s="284"/>
      <c r="G156" s="284"/>
      <c r="H156" s="20"/>
      <c r="I156" s="20"/>
      <c r="J156" s="20"/>
      <c r="K156" s="20"/>
      <c r="L156" s="10"/>
    </row>
    <row r="157" spans="2:12" ht="32" x14ac:dyDescent="0.45">
      <c r="B157" s="308"/>
      <c r="C157" s="165" t="s">
        <v>224</v>
      </c>
      <c r="D157" s="284"/>
      <c r="E157" s="284"/>
      <c r="F157" s="284"/>
      <c r="G157" s="284"/>
      <c r="H157" s="20"/>
      <c r="I157" s="20"/>
      <c r="J157" s="20"/>
      <c r="K157" s="20"/>
      <c r="L157" s="10"/>
    </row>
    <row r="158" spans="2:12" ht="17.5" x14ac:dyDescent="0.45">
      <c r="B158" s="308"/>
      <c r="C158" s="165" t="s">
        <v>225</v>
      </c>
      <c r="D158" s="284"/>
      <c r="E158" s="284"/>
      <c r="F158" s="284"/>
      <c r="G158" s="284"/>
      <c r="H158" s="20"/>
      <c r="I158" s="20"/>
      <c r="J158" s="20"/>
      <c r="K158" s="20"/>
      <c r="L158" s="10"/>
    </row>
    <row r="159" spans="2:12" ht="18" thickBot="1" x14ac:dyDescent="0.5">
      <c r="B159" s="276"/>
      <c r="C159" s="276" t="s">
        <v>226</v>
      </c>
      <c r="D159" s="285"/>
      <c r="E159" s="285"/>
      <c r="F159" s="285"/>
      <c r="G159" s="285"/>
      <c r="H159" s="20"/>
      <c r="I159" s="20"/>
      <c r="J159" s="20"/>
      <c r="K159" s="20"/>
      <c r="L159" s="10"/>
    </row>
    <row r="160" spans="2:12" ht="17.5" x14ac:dyDescent="0.45">
      <c r="B160" s="308" t="s">
        <v>50</v>
      </c>
      <c r="C160" s="165" t="s">
        <v>221</v>
      </c>
      <c r="D160" s="284"/>
      <c r="E160" s="284"/>
      <c r="F160" s="284"/>
      <c r="G160" s="284"/>
      <c r="H160" s="20"/>
      <c r="I160" s="20"/>
      <c r="J160" s="20"/>
      <c r="K160" s="20"/>
      <c r="L160" s="10"/>
    </row>
    <row r="161" spans="2:12" ht="17.5" x14ac:dyDescent="0.45">
      <c r="B161" s="308"/>
      <c r="C161" s="165" t="s">
        <v>222</v>
      </c>
      <c r="D161" s="284"/>
      <c r="E161" s="284"/>
      <c r="F161" s="284"/>
      <c r="G161" s="284"/>
      <c r="H161" s="20"/>
      <c r="I161" s="20"/>
      <c r="J161" s="20"/>
      <c r="K161" s="20"/>
      <c r="L161" s="10"/>
    </row>
    <row r="162" spans="2:12" ht="17.5" x14ac:dyDescent="0.45">
      <c r="B162" s="308"/>
      <c r="C162" s="165" t="s">
        <v>223</v>
      </c>
      <c r="D162" s="284"/>
      <c r="E162" s="284"/>
      <c r="F162" s="284"/>
      <c r="G162" s="284"/>
      <c r="H162" s="20"/>
      <c r="I162" s="20"/>
      <c r="J162" s="20"/>
      <c r="K162" s="20"/>
      <c r="L162" s="10"/>
    </row>
    <row r="163" spans="2:12" ht="32" x14ac:dyDescent="0.45">
      <c r="B163" s="308"/>
      <c r="C163" s="165" t="s">
        <v>224</v>
      </c>
      <c r="D163" s="284"/>
      <c r="E163" s="284"/>
      <c r="F163" s="284"/>
      <c r="G163" s="284"/>
      <c r="H163" s="20"/>
      <c r="I163" s="20"/>
      <c r="J163" s="20"/>
      <c r="K163" s="20"/>
      <c r="L163" s="10"/>
    </row>
    <row r="164" spans="2:12" ht="17.5" x14ac:dyDescent="0.45">
      <c r="B164" s="308"/>
      <c r="C164" s="165" t="s">
        <v>225</v>
      </c>
      <c r="D164" s="284"/>
      <c r="E164" s="284"/>
      <c r="F164" s="284"/>
      <c r="G164" s="284"/>
      <c r="H164" s="20"/>
      <c r="I164" s="20"/>
      <c r="J164" s="20"/>
      <c r="K164" s="20"/>
      <c r="L164" s="10"/>
    </row>
    <row r="165" spans="2:12" ht="18" thickBot="1" x14ac:dyDescent="0.5">
      <c r="B165" s="276"/>
      <c r="C165" s="276" t="s">
        <v>226</v>
      </c>
      <c r="D165" s="285"/>
      <c r="E165" s="285"/>
      <c r="F165" s="285"/>
      <c r="G165" s="285"/>
      <c r="H165" s="20"/>
      <c r="I165" s="20"/>
      <c r="J165" s="20"/>
      <c r="K165" s="20"/>
      <c r="L165" s="10"/>
    </row>
    <row r="166" spans="2:12" ht="17.5" x14ac:dyDescent="0.45">
      <c r="B166" s="308" t="s">
        <v>220</v>
      </c>
      <c r="C166" s="165" t="s">
        <v>221</v>
      </c>
      <c r="D166" s="284"/>
      <c r="E166" s="284"/>
      <c r="F166" s="284"/>
      <c r="G166" s="284"/>
      <c r="H166" s="58"/>
      <c r="I166" s="58"/>
      <c r="J166" s="10"/>
      <c r="K166" s="20"/>
      <c r="L166" s="10"/>
    </row>
    <row r="167" spans="2:12" ht="17.5" x14ac:dyDescent="0.45">
      <c r="B167" s="308"/>
      <c r="C167" s="165" t="s">
        <v>222</v>
      </c>
      <c r="D167" s="284"/>
      <c r="E167" s="284"/>
      <c r="F167" s="284"/>
      <c r="G167" s="284"/>
      <c r="H167" s="58"/>
      <c r="I167" s="58"/>
      <c r="J167" s="10"/>
      <c r="K167" s="20"/>
      <c r="L167" s="10"/>
    </row>
    <row r="168" spans="2:12" ht="17.5" x14ac:dyDescent="0.45">
      <c r="B168" s="308"/>
      <c r="C168" s="165" t="s">
        <v>223</v>
      </c>
      <c r="D168" s="284"/>
      <c r="E168" s="284"/>
      <c r="F168" s="284"/>
      <c r="G168" s="284"/>
      <c r="H168" s="58"/>
      <c r="I168" s="58"/>
      <c r="J168" s="10"/>
      <c r="K168" s="20"/>
      <c r="L168" s="10"/>
    </row>
    <row r="169" spans="2:12" ht="32" x14ac:dyDescent="0.45">
      <c r="B169" s="308"/>
      <c r="C169" s="165" t="s">
        <v>224</v>
      </c>
      <c r="D169" s="284"/>
      <c r="E169" s="284"/>
      <c r="F169" s="284"/>
      <c r="G169" s="284"/>
      <c r="H169" s="58"/>
      <c r="I169" s="58"/>
      <c r="J169" s="10"/>
      <c r="K169" s="20"/>
      <c r="L169" s="10"/>
    </row>
    <row r="170" spans="2:12" ht="17.5" x14ac:dyDescent="0.45">
      <c r="B170" s="308"/>
      <c r="C170" s="165" t="s">
        <v>225</v>
      </c>
      <c r="D170" s="284"/>
      <c r="E170" s="284"/>
      <c r="F170" s="284"/>
      <c r="G170" s="284"/>
      <c r="H170" s="60"/>
      <c r="I170" s="60"/>
      <c r="J170" s="10"/>
      <c r="K170" s="20"/>
      <c r="L170" s="10"/>
    </row>
    <row r="171" spans="2:12" ht="18" thickBot="1" x14ac:dyDescent="0.5">
      <c r="B171" s="276"/>
      <c r="C171" s="276" t="s">
        <v>226</v>
      </c>
      <c r="D171" s="285"/>
      <c r="E171" s="285"/>
      <c r="F171" s="285"/>
      <c r="G171" s="285"/>
      <c r="H171" s="60"/>
      <c r="I171" s="60"/>
      <c r="J171" s="20"/>
      <c r="K171" s="20"/>
      <c r="L171" s="10"/>
    </row>
    <row r="172" spans="2:12" ht="17.5" x14ac:dyDescent="0.45">
      <c r="B172" s="19"/>
      <c r="C172" s="19"/>
      <c r="D172" s="20"/>
      <c r="E172" s="20"/>
      <c r="F172" s="20"/>
      <c r="G172" s="20"/>
      <c r="H172" s="20"/>
      <c r="I172" s="20"/>
      <c r="J172" s="20"/>
      <c r="K172" s="20"/>
      <c r="L172" s="20"/>
    </row>
    <row r="173" spans="2:12" x14ac:dyDescent="0.35">
      <c r="C173" s="2"/>
      <c r="D173" s="1"/>
      <c r="E173" s="1"/>
      <c r="F173" s="1"/>
      <c r="G173" s="1"/>
      <c r="H173" s="1"/>
      <c r="I173" s="1"/>
      <c r="J173" s="1"/>
    </row>
    <row r="174" spans="2:12" x14ac:dyDescent="0.35">
      <c r="C174" s="2"/>
      <c r="D174" s="1"/>
      <c r="E174" s="1"/>
      <c r="F174" s="1"/>
      <c r="G174" s="1"/>
      <c r="H174" s="1"/>
      <c r="I174" s="1"/>
      <c r="J174" s="1"/>
    </row>
    <row r="175" spans="2:12" x14ac:dyDescent="0.35">
      <c r="B175" t="s">
        <v>236</v>
      </c>
      <c r="C175" s="2"/>
      <c r="D175" s="1"/>
      <c r="E175" s="1"/>
      <c r="F175" s="1"/>
      <c r="G175" s="1"/>
      <c r="H175" s="1"/>
      <c r="I175" s="1"/>
      <c r="J175" s="1"/>
    </row>
    <row r="176" spans="2:12" x14ac:dyDescent="0.35">
      <c r="C176" s="2"/>
      <c r="D176" s="1"/>
      <c r="E176" s="1"/>
      <c r="F176" s="1"/>
      <c r="G176" s="1"/>
      <c r="H176" s="1"/>
      <c r="I176" s="1"/>
      <c r="J176" s="1"/>
    </row>
    <row r="177" spans="3:9" x14ac:dyDescent="0.35">
      <c r="C177" s="2"/>
      <c r="D177" s="1"/>
      <c r="E177" s="1"/>
      <c r="F177" s="1"/>
      <c r="G177" s="1"/>
      <c r="H177" s="1"/>
      <c r="I177" s="1"/>
    </row>
    <row r="178" spans="3:9" x14ac:dyDescent="0.35">
      <c r="C178" s="2"/>
      <c r="D178" s="1"/>
      <c r="E178" s="1"/>
      <c r="F178" s="1"/>
      <c r="G178" s="1"/>
      <c r="H178" s="1"/>
      <c r="I178" s="1"/>
    </row>
    <row r="179" spans="3:9" x14ac:dyDescent="0.35">
      <c r="C179" s="4"/>
      <c r="D179" s="1"/>
      <c r="E179" s="1"/>
      <c r="F179" s="1"/>
      <c r="G179" s="1"/>
      <c r="H179" s="1"/>
      <c r="I179" s="1"/>
    </row>
    <row r="180" spans="3:9" x14ac:dyDescent="0.35">
      <c r="C180" s="1"/>
      <c r="D180" s="1"/>
      <c r="E180" s="1"/>
      <c r="F180" s="1"/>
      <c r="G180" s="1"/>
      <c r="H180" s="1"/>
      <c r="I180" s="1"/>
    </row>
    <row r="181" spans="3:9" x14ac:dyDescent="0.35">
      <c r="C181" s="1"/>
      <c r="D181" s="1"/>
      <c r="E181" s="1"/>
      <c r="F181" s="1"/>
      <c r="G181" s="1"/>
      <c r="H181" s="1"/>
      <c r="I181" s="1"/>
    </row>
  </sheetData>
  <mergeCells count="7">
    <mergeCell ref="B6:N6"/>
    <mergeCell ref="F1:I2"/>
    <mergeCell ref="B74:B75"/>
    <mergeCell ref="C74:C75"/>
    <mergeCell ref="D74:E74"/>
    <mergeCell ref="F74:G74"/>
    <mergeCell ref="H74:I74"/>
  </mergeCells>
  <hyperlinks>
    <hyperlink ref="B8" location="DetailedWater" display="Water" xr:uid="{00000000-0004-0000-0300-000000000000}"/>
    <hyperlink ref="B9" location="DetailedWaterConsumed" display="Water consumed (megalitres)" xr:uid="{00000000-0004-0000-0300-000001000000}"/>
    <hyperlink ref="B10" location="DetailedWaterRecycled" display="Water recycled (megalitres)" xr:uid="{00000000-0004-0000-0300-000002000000}"/>
    <hyperlink ref="B11" location="DetailedRainwater_harvested__megalitres" display="Rainwater harvested (megalitres)" xr:uid="{00000000-0004-0000-0300-000003000000}"/>
    <hyperlink ref="D9" location="DetailedktCO2e" display="Kilotonnes (kt) of CO2-e [2] (Scope 1 and 2)" xr:uid="{00000000-0004-0000-0300-000004000000}"/>
    <hyperlink ref="D10" location="DetailedIntensity" display="Emissions intensity (kg per unit)" xr:uid="{00000000-0004-0000-0300-000005000000}"/>
    <hyperlink ref="D11" location="DetailedGHGDetail" display="Greenhouse gas (GHG) emissions (detail)" xr:uid="{00000000-0004-0000-0300-000006000000}"/>
    <hyperlink ref="G8" location="DetailedWaste1" display="Waste and recycling" xr:uid="{00000000-0004-0000-0300-000007000000}"/>
    <hyperlink ref="G9" location="DetailedWaste" display="General waste, recycling and hazardous waste (metric tonnes)" xr:uid="{00000000-0004-0000-0300-000008000000}"/>
    <hyperlink ref="D8" location="Detailedemissions" display="Energy and Emissions" xr:uid="{00000000-0004-0000-0300-000009000000}"/>
  </hyperlinks>
  <pageMargins left="0.7" right="0.7" top="0.75" bottom="0.75" header="0.3" footer="0.3"/>
  <pageSetup paperSize="9" orientation="portrait" horizontalDpi="4294967294" verticalDpi="0"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tabColor rgb="FFFFC000"/>
  </sheetPr>
  <dimension ref="A1:X369"/>
  <sheetViews>
    <sheetView showGridLines="0" zoomScaleNormal="100" workbookViewId="0">
      <selection activeCell="E30" sqref="E30"/>
    </sheetView>
  </sheetViews>
  <sheetFormatPr defaultColWidth="11" defaultRowHeight="15.5" x14ac:dyDescent="0.35"/>
  <cols>
    <col min="1" max="1" width="2.33203125" customWidth="1"/>
    <col min="2" max="2" width="24.83203125" customWidth="1"/>
    <col min="3" max="3" width="20.25" customWidth="1"/>
    <col min="4" max="4" width="15.08203125" customWidth="1"/>
    <col min="5" max="5" width="14" customWidth="1"/>
    <col min="6" max="6" width="13.08203125" customWidth="1"/>
    <col min="7" max="7" width="11" customWidth="1"/>
    <col min="8" max="8" width="13.83203125" customWidth="1"/>
    <col min="9" max="9" width="12" customWidth="1"/>
    <col min="10" max="10" width="14.33203125" customWidth="1"/>
  </cols>
  <sheetData>
    <row r="1" spans="1:18" s="606" customFormat="1" x14ac:dyDescent="0.35">
      <c r="A1" s="605"/>
    </row>
    <row r="2" spans="1:18" s="606" customFormat="1" ht="95.15" customHeight="1" x14ac:dyDescent="0.45">
      <c r="B2" s="607" t="s">
        <v>237</v>
      </c>
      <c r="C2" s="608"/>
      <c r="D2" s="609"/>
      <c r="E2" s="609"/>
      <c r="F2" s="609"/>
      <c r="G2" s="609"/>
      <c r="H2" s="609"/>
      <c r="K2" s="605"/>
    </row>
    <row r="3" spans="1:18" x14ac:dyDescent="0.35">
      <c r="A3" s="9"/>
      <c r="B3" t="s">
        <v>1</v>
      </c>
      <c r="C3" s="732">
        <v>44487</v>
      </c>
      <c r="D3" s="9"/>
      <c r="E3" s="9"/>
      <c r="F3" s="9"/>
      <c r="G3" s="9"/>
      <c r="H3" s="9"/>
      <c r="I3" s="9"/>
      <c r="J3" s="9"/>
      <c r="K3" s="9"/>
      <c r="L3" s="9"/>
    </row>
    <row r="4" spans="1:18" x14ac:dyDescent="0.35">
      <c r="A4" s="9"/>
      <c r="B4" s="150" t="s">
        <v>2</v>
      </c>
      <c r="C4" s="8"/>
      <c r="D4" s="9"/>
      <c r="E4" s="9"/>
      <c r="F4" s="9"/>
      <c r="G4" s="9"/>
      <c r="H4" s="9"/>
      <c r="I4" s="9"/>
      <c r="J4" s="9"/>
      <c r="K4" s="9"/>
      <c r="L4" s="9"/>
    </row>
    <row r="5" spans="1:18" x14ac:dyDescent="0.35">
      <c r="A5" s="9"/>
      <c r="B5" s="915" t="s">
        <v>3</v>
      </c>
      <c r="C5" s="915"/>
      <c r="D5" s="915"/>
      <c r="E5" s="915"/>
      <c r="F5" s="915"/>
      <c r="G5" s="915"/>
      <c r="H5" s="915"/>
      <c r="I5" s="915"/>
      <c r="J5" s="915"/>
      <c r="K5" s="915"/>
      <c r="L5" s="915"/>
      <c r="M5" s="915"/>
      <c r="N5" s="915"/>
    </row>
    <row r="6" spans="1:18" s="623" customFormat="1" ht="17.5" x14ac:dyDescent="0.35">
      <c r="B6" s="624" t="s">
        <v>4</v>
      </c>
    </row>
    <row r="7" spans="1:18" x14ac:dyDescent="0.35">
      <c r="A7" s="9"/>
      <c r="B7" s="728" t="s">
        <v>238</v>
      </c>
      <c r="C7" s="729"/>
      <c r="D7" s="210"/>
      <c r="E7" s="210"/>
      <c r="F7" s="210"/>
      <c r="G7" s="150"/>
      <c r="H7" s="280" t="s">
        <v>239</v>
      </c>
      <c r="I7" s="208"/>
      <c r="J7" s="208"/>
      <c r="K7" s="208"/>
      <c r="M7" s="208"/>
      <c r="N7" s="9"/>
      <c r="O7" s="9"/>
      <c r="P7" s="9"/>
      <c r="Q7" s="9"/>
      <c r="R7" s="9"/>
    </row>
    <row r="8" spans="1:18" x14ac:dyDescent="0.35">
      <c r="A8" s="9"/>
      <c r="B8" s="280" t="s">
        <v>240</v>
      </c>
      <c r="C8" s="729"/>
      <c r="D8" s="210"/>
      <c r="E8" s="210"/>
      <c r="F8" s="210"/>
      <c r="G8" s="150"/>
      <c r="H8" s="280" t="s">
        <v>241</v>
      </c>
      <c r="I8" s="208"/>
      <c r="J8" s="208"/>
      <c r="K8" s="208"/>
      <c r="M8" s="208"/>
      <c r="N8" s="9"/>
      <c r="O8" s="9"/>
      <c r="P8" s="9"/>
      <c r="Q8" s="9"/>
      <c r="R8" s="9"/>
    </row>
    <row r="9" spans="1:18" x14ac:dyDescent="0.35">
      <c r="A9" s="9"/>
      <c r="B9" s="726" t="s">
        <v>242</v>
      </c>
      <c r="C9" s="729"/>
      <c r="D9" s="210"/>
      <c r="E9" s="210"/>
      <c r="F9" s="210"/>
      <c r="G9" s="150"/>
      <c r="H9" s="280" t="s">
        <v>243</v>
      </c>
      <c r="I9" s="208"/>
      <c r="J9" s="208"/>
      <c r="K9" s="208"/>
      <c r="M9" s="208"/>
      <c r="N9" s="9"/>
      <c r="O9" s="9"/>
      <c r="P9" s="9"/>
      <c r="Q9" s="9"/>
      <c r="R9" s="9"/>
    </row>
    <row r="10" spans="1:18" x14ac:dyDescent="0.35">
      <c r="A10" s="9"/>
      <c r="B10" s="728" t="s">
        <v>244</v>
      </c>
      <c r="C10" s="729"/>
      <c r="D10" s="210"/>
      <c r="E10" s="210"/>
      <c r="F10" s="210"/>
      <c r="G10" s="150"/>
      <c r="H10" s="280" t="s">
        <v>245</v>
      </c>
      <c r="I10" s="208"/>
      <c r="J10" s="208"/>
      <c r="K10" s="208"/>
      <c r="M10" s="208"/>
      <c r="N10" s="9"/>
      <c r="O10" s="9"/>
      <c r="P10" s="9"/>
      <c r="Q10" s="9"/>
      <c r="R10" s="9"/>
    </row>
    <row r="11" spans="1:18" x14ac:dyDescent="0.35">
      <c r="A11" s="9"/>
      <c r="B11" s="280" t="s">
        <v>246</v>
      </c>
      <c r="C11" s="729"/>
      <c r="D11" s="210"/>
      <c r="E11" s="210"/>
      <c r="F11" s="210"/>
      <c r="G11" s="150"/>
      <c r="H11" s="280" t="s">
        <v>247</v>
      </c>
      <c r="I11" s="208"/>
      <c r="J11" s="208"/>
      <c r="K11" s="208"/>
      <c r="L11" s="208"/>
      <c r="M11" s="208"/>
      <c r="N11" s="9"/>
      <c r="O11" s="9"/>
      <c r="P11" s="9"/>
      <c r="Q11" s="9"/>
      <c r="R11" s="9"/>
    </row>
    <row r="12" spans="1:18" x14ac:dyDescent="0.35">
      <c r="A12" s="9"/>
      <c r="B12" s="280" t="s">
        <v>248</v>
      </c>
      <c r="C12" s="729"/>
      <c r="D12" s="210"/>
      <c r="E12" s="210"/>
      <c r="F12" s="210"/>
      <c r="G12" s="150"/>
      <c r="H12" s="730" t="s">
        <v>249</v>
      </c>
      <c r="I12" s="208"/>
      <c r="J12" s="208"/>
      <c r="K12" s="208"/>
      <c r="L12" s="208"/>
      <c r="M12" s="208"/>
      <c r="N12" s="9"/>
      <c r="O12" s="9"/>
      <c r="P12" s="9"/>
      <c r="Q12" s="9"/>
      <c r="R12" s="9"/>
    </row>
    <row r="13" spans="1:18" x14ac:dyDescent="0.35">
      <c r="A13" s="9"/>
      <c r="B13" s="280" t="s">
        <v>250</v>
      </c>
      <c r="C13" s="729"/>
      <c r="D13" s="210"/>
      <c r="E13" s="210"/>
      <c r="F13" s="210"/>
      <c r="G13" s="150"/>
      <c r="H13" s="280" t="s">
        <v>251</v>
      </c>
      <c r="I13" s="208"/>
      <c r="J13" s="208"/>
      <c r="K13" s="208"/>
      <c r="L13" s="208"/>
      <c r="M13" s="208"/>
      <c r="N13" s="9"/>
      <c r="O13" s="9"/>
      <c r="P13" s="9"/>
      <c r="Q13" s="9"/>
      <c r="R13" s="9"/>
    </row>
    <row r="14" spans="1:18" x14ac:dyDescent="0.35">
      <c r="A14" s="9"/>
      <c r="B14" s="280" t="s">
        <v>252</v>
      </c>
      <c r="C14" s="729"/>
      <c r="D14" s="210"/>
      <c r="E14" s="210"/>
      <c r="F14" s="210"/>
      <c r="G14" s="150"/>
      <c r="H14" s="280" t="s">
        <v>253</v>
      </c>
      <c r="I14" s="208"/>
      <c r="J14" s="208"/>
      <c r="K14" s="208"/>
      <c r="L14" s="208"/>
      <c r="M14" s="208"/>
      <c r="N14" s="9"/>
      <c r="O14" s="9"/>
      <c r="P14" s="9"/>
      <c r="Q14" s="9"/>
      <c r="R14" s="9"/>
    </row>
    <row r="15" spans="1:18" x14ac:dyDescent="0.35">
      <c r="A15" s="9"/>
      <c r="B15" s="280" t="s">
        <v>254</v>
      </c>
      <c r="C15" s="729"/>
      <c r="D15" s="210"/>
      <c r="E15" s="210"/>
      <c r="F15" s="210"/>
      <c r="G15" s="150"/>
      <c r="H15" s="280" t="s">
        <v>255</v>
      </c>
      <c r="I15" s="208"/>
      <c r="J15" s="208"/>
      <c r="K15" s="208"/>
      <c r="L15" s="208"/>
      <c r="M15" s="208"/>
      <c r="N15" s="9"/>
      <c r="O15" s="9"/>
      <c r="P15" s="9"/>
      <c r="Q15" s="9"/>
      <c r="R15" s="9"/>
    </row>
    <row r="16" spans="1:18" x14ac:dyDescent="0.35">
      <c r="A16" s="9"/>
      <c r="B16" s="280" t="s">
        <v>256</v>
      </c>
      <c r="C16" s="729"/>
      <c r="D16" s="210"/>
      <c r="E16" s="210"/>
      <c r="F16" s="210"/>
      <c r="G16" s="150"/>
      <c r="H16" s="730" t="s">
        <v>257</v>
      </c>
      <c r="I16" s="208"/>
      <c r="J16" s="208"/>
      <c r="K16" s="208"/>
      <c r="L16" s="208"/>
      <c r="M16" s="208"/>
      <c r="N16" s="9"/>
      <c r="O16" s="9"/>
      <c r="P16" s="9"/>
      <c r="Q16" s="9"/>
      <c r="R16" s="9"/>
    </row>
    <row r="17" spans="1:19" x14ac:dyDescent="0.35">
      <c r="A17" s="9"/>
      <c r="B17" s="280" t="s">
        <v>258</v>
      </c>
      <c r="C17" s="729"/>
      <c r="D17" s="210"/>
      <c r="E17" s="210"/>
      <c r="F17" s="210"/>
      <c r="G17" s="150"/>
      <c r="H17" s="730" t="s">
        <v>259</v>
      </c>
      <c r="I17" s="208"/>
      <c r="J17" s="208"/>
      <c r="K17" s="208"/>
      <c r="L17" s="208"/>
      <c r="M17" s="208"/>
      <c r="N17" s="9"/>
      <c r="O17" s="9"/>
      <c r="P17" s="9"/>
      <c r="Q17" s="9"/>
      <c r="R17" s="9"/>
    </row>
    <row r="18" spans="1:19" x14ac:dyDescent="0.35">
      <c r="A18" s="9"/>
      <c r="B18" s="280" t="s">
        <v>260</v>
      </c>
      <c r="C18" s="729"/>
      <c r="D18" s="210"/>
      <c r="E18" s="210"/>
      <c r="F18" s="210"/>
      <c r="G18" s="150"/>
      <c r="H18" s="726" t="s">
        <v>261</v>
      </c>
      <c r="I18" s="208"/>
      <c r="J18" s="208"/>
      <c r="K18" s="208"/>
      <c r="L18" s="208"/>
      <c r="M18" s="208"/>
      <c r="N18" s="9"/>
      <c r="O18" s="9"/>
      <c r="P18" s="9"/>
      <c r="Q18" s="9"/>
      <c r="R18" s="9"/>
    </row>
    <row r="19" spans="1:19" x14ac:dyDescent="0.35">
      <c r="A19" s="9"/>
      <c r="B19" s="280" t="s">
        <v>262</v>
      </c>
      <c r="C19" s="729"/>
      <c r="D19" s="210"/>
      <c r="E19" s="210"/>
      <c r="F19" s="210"/>
      <c r="G19" s="150"/>
      <c r="H19" s="280" t="s">
        <v>263</v>
      </c>
      <c r="I19" s="208"/>
      <c r="J19" s="208"/>
      <c r="K19" s="208"/>
      <c r="L19" s="208"/>
      <c r="M19" s="208"/>
      <c r="N19" s="9"/>
      <c r="O19" s="9"/>
      <c r="P19" s="9"/>
      <c r="Q19" s="9"/>
      <c r="R19" s="9"/>
    </row>
    <row r="20" spans="1:19" ht="16" x14ac:dyDescent="0.35">
      <c r="A20" s="9"/>
      <c r="B20" s="280" t="s">
        <v>264</v>
      </c>
      <c r="C20" s="207"/>
      <c r="D20" s="208"/>
      <c r="E20" s="208"/>
      <c r="F20" s="208"/>
      <c r="G20" s="209"/>
      <c r="H20" s="730" t="s">
        <v>265</v>
      </c>
      <c r="I20" s="208"/>
      <c r="J20" s="208"/>
      <c r="K20" s="208"/>
      <c r="L20" s="208"/>
      <c r="M20" s="208"/>
      <c r="N20" s="9"/>
      <c r="O20" s="9"/>
      <c r="P20" s="9"/>
      <c r="Q20" s="9"/>
      <c r="R20" s="9"/>
    </row>
    <row r="21" spans="1:19" x14ac:dyDescent="0.35">
      <c r="A21" s="9"/>
      <c r="B21" s="8"/>
      <c r="C21" s="8"/>
      <c r="D21" s="9"/>
      <c r="E21" s="9"/>
      <c r="F21" s="9"/>
      <c r="G21" s="9"/>
      <c r="H21" s="731" t="s">
        <v>39</v>
      </c>
      <c r="I21" s="9"/>
      <c r="J21" s="9"/>
      <c r="K21" s="9"/>
      <c r="L21" s="9"/>
      <c r="N21" s="9"/>
      <c r="O21" s="9"/>
      <c r="P21" s="9"/>
      <c r="Q21" s="9"/>
      <c r="R21" s="9"/>
    </row>
    <row r="22" spans="1:19" s="606" customFormat="1" ht="21" x14ac:dyDescent="0.35">
      <c r="B22" s="625" t="s">
        <v>238</v>
      </c>
      <c r="C22" s="626"/>
    </row>
    <row r="23" spans="1:19" ht="5.5" customHeight="1" x14ac:dyDescent="0.45">
      <c r="A23" s="9"/>
      <c r="B23" s="111"/>
      <c r="C23" s="111"/>
      <c r="D23" s="107"/>
      <c r="E23" s="107"/>
      <c r="F23" s="107"/>
      <c r="G23" s="107"/>
      <c r="H23" s="107"/>
      <c r="I23" s="107"/>
      <c r="J23" s="9"/>
      <c r="K23" s="9"/>
      <c r="L23" s="9"/>
      <c r="N23" s="9"/>
      <c r="O23" s="9"/>
      <c r="P23" s="9"/>
      <c r="Q23" s="9"/>
      <c r="R23" s="9"/>
    </row>
    <row r="24" spans="1:19" s="606" customFormat="1" ht="17.5" x14ac:dyDescent="0.45">
      <c r="B24" s="606" t="s">
        <v>266</v>
      </c>
      <c r="C24" s="627"/>
    </row>
    <row r="25" spans="1:19" ht="5.5" customHeight="1" thickBot="1" x14ac:dyDescent="0.5">
      <c r="A25" s="9"/>
      <c r="B25" s="111"/>
      <c r="C25" s="111"/>
      <c r="D25" s="107"/>
      <c r="E25" s="107"/>
      <c r="F25" s="107"/>
      <c r="G25" s="107"/>
      <c r="H25" s="107"/>
      <c r="I25" s="107"/>
      <c r="J25" s="9"/>
      <c r="K25" s="9"/>
      <c r="L25" s="9"/>
      <c r="N25" s="9"/>
      <c r="O25" s="9"/>
      <c r="P25" s="9"/>
      <c r="Q25" s="9"/>
      <c r="R25" s="9"/>
    </row>
    <row r="26" spans="1:19" ht="32" x14ac:dyDescent="0.35">
      <c r="A26" s="9"/>
      <c r="B26" s="673" t="s">
        <v>80</v>
      </c>
      <c r="C26" s="669"/>
      <c r="D26" s="634" t="s">
        <v>43</v>
      </c>
      <c r="E26" s="867" t="s">
        <v>476</v>
      </c>
      <c r="F26" s="634" t="s">
        <v>44</v>
      </c>
      <c r="G26" s="867" t="s">
        <v>267</v>
      </c>
      <c r="H26" s="634" t="s">
        <v>46</v>
      </c>
      <c r="I26" s="634" t="s">
        <v>47</v>
      </c>
      <c r="J26" s="634" t="s">
        <v>48</v>
      </c>
      <c r="K26" s="634" t="s">
        <v>49</v>
      </c>
      <c r="L26" s="867" t="s">
        <v>118</v>
      </c>
      <c r="M26" s="9"/>
      <c r="O26" s="9"/>
      <c r="P26" s="9"/>
      <c r="Q26" s="9"/>
      <c r="R26" s="9"/>
      <c r="S26" s="9"/>
    </row>
    <row r="27" spans="1:19" ht="16" x14ac:dyDescent="0.35">
      <c r="A27" s="9"/>
      <c r="B27" s="932" t="s">
        <v>268</v>
      </c>
      <c r="C27" s="933"/>
      <c r="D27" s="693">
        <v>2353468</v>
      </c>
      <c r="E27" s="693" t="s">
        <v>477</v>
      </c>
      <c r="F27" s="541">
        <v>2026835</v>
      </c>
      <c r="G27" s="537">
        <v>1998587</v>
      </c>
      <c r="H27" s="390">
        <v>2588014.7340000002</v>
      </c>
      <c r="I27" s="390">
        <v>2008811</v>
      </c>
      <c r="J27" s="211">
        <v>2574375</v>
      </c>
      <c r="K27" s="211">
        <v>2534000</v>
      </c>
      <c r="L27" s="211">
        <v>2349000</v>
      </c>
      <c r="M27" s="9"/>
      <c r="O27" s="9"/>
      <c r="P27" s="9"/>
      <c r="Q27" s="9"/>
      <c r="R27" s="9"/>
      <c r="S27" s="9"/>
    </row>
    <row r="28" spans="1:19" ht="16" x14ac:dyDescent="0.35">
      <c r="A28" s="9"/>
      <c r="B28" s="932" t="s">
        <v>269</v>
      </c>
      <c r="C28" s="933"/>
      <c r="D28" s="693">
        <v>3248917</v>
      </c>
      <c r="E28" s="693" t="s">
        <v>478</v>
      </c>
      <c r="F28" s="541">
        <v>1761119</v>
      </c>
      <c r="G28" s="537">
        <v>1739666</v>
      </c>
      <c r="H28" s="537">
        <v>1739666</v>
      </c>
      <c r="I28" s="390">
        <v>1642576.0098880001</v>
      </c>
      <c r="J28" s="211">
        <v>1653418</v>
      </c>
      <c r="K28" s="211">
        <v>1609000</v>
      </c>
      <c r="L28" s="211">
        <v>1491000</v>
      </c>
      <c r="M28" s="9"/>
      <c r="O28" s="9"/>
      <c r="P28" s="9"/>
      <c r="Q28" s="9"/>
      <c r="R28" s="9"/>
      <c r="S28" s="9"/>
    </row>
    <row r="29" spans="1:19" ht="16" x14ac:dyDescent="0.35">
      <c r="A29" s="9"/>
      <c r="B29" s="932" t="s">
        <v>270</v>
      </c>
      <c r="C29" s="933"/>
      <c r="D29" s="693">
        <v>1417610</v>
      </c>
      <c r="E29" s="693">
        <v>1400788</v>
      </c>
      <c r="F29" s="541">
        <v>1316689</v>
      </c>
      <c r="G29" s="537">
        <v>1312842</v>
      </c>
      <c r="H29" s="390">
        <v>1393019.798</v>
      </c>
      <c r="I29" s="390">
        <v>1315859</v>
      </c>
      <c r="J29" s="211">
        <v>1380864</v>
      </c>
      <c r="K29" s="211">
        <v>1425000</v>
      </c>
      <c r="L29" s="211">
        <v>1389000</v>
      </c>
      <c r="M29" s="286"/>
      <c r="N29" s="9"/>
      <c r="O29" s="9"/>
      <c r="P29" s="9"/>
      <c r="Q29" s="9"/>
      <c r="R29" s="9"/>
      <c r="S29" s="9"/>
    </row>
    <row r="30" spans="1:19" ht="16" x14ac:dyDescent="0.35">
      <c r="A30" s="9"/>
      <c r="B30" s="932" t="s">
        <v>271</v>
      </c>
      <c r="C30" s="933"/>
      <c r="D30" s="519">
        <v>0</v>
      </c>
      <c r="E30" s="519"/>
      <c r="F30" s="519">
        <v>0</v>
      </c>
      <c r="G30" s="538">
        <v>0</v>
      </c>
      <c r="H30" s="391">
        <v>4693.8425699999998</v>
      </c>
      <c r="I30" s="391">
        <v>0</v>
      </c>
      <c r="J30" s="212">
        <v>4719</v>
      </c>
      <c r="K30" s="212">
        <v>116610</v>
      </c>
      <c r="L30" s="211">
        <v>173920</v>
      </c>
      <c r="O30" s="9"/>
      <c r="P30" s="9"/>
      <c r="Q30" s="9"/>
      <c r="R30" s="9"/>
      <c r="S30" s="9"/>
    </row>
    <row r="31" spans="1:19" ht="16" x14ac:dyDescent="0.35">
      <c r="A31" s="9"/>
      <c r="B31" s="932" t="s">
        <v>272</v>
      </c>
      <c r="C31" s="933"/>
      <c r="D31" s="694">
        <v>3164184</v>
      </c>
      <c r="E31" s="694">
        <v>2987710</v>
      </c>
      <c r="F31" s="694">
        <v>2523580</v>
      </c>
      <c r="G31" s="539">
        <v>2632</v>
      </c>
      <c r="H31" s="391">
        <v>4140.2627190000003</v>
      </c>
      <c r="I31" s="391">
        <v>2583.538</v>
      </c>
      <c r="J31" s="212">
        <v>4131</v>
      </c>
      <c r="K31" s="212">
        <v>4500</v>
      </c>
      <c r="L31" s="211">
        <v>4220</v>
      </c>
      <c r="O31" s="9"/>
      <c r="P31" s="9"/>
      <c r="Q31" s="9"/>
      <c r="R31" s="9"/>
      <c r="S31" s="9"/>
    </row>
    <row r="32" spans="1:19" ht="16.5" thickBot="1" x14ac:dyDescent="0.4">
      <c r="A32" s="9"/>
      <c r="B32" s="938" t="s">
        <v>273</v>
      </c>
      <c r="C32" s="939"/>
      <c r="D32" s="807">
        <v>18667</v>
      </c>
      <c r="E32" s="807">
        <v>8699</v>
      </c>
      <c r="F32" s="807">
        <v>8699</v>
      </c>
      <c r="G32" s="540">
        <v>10562</v>
      </c>
      <c r="H32" s="466">
        <f>I47</f>
        <v>10562</v>
      </c>
      <c r="I32" s="466">
        <v>0</v>
      </c>
      <c r="J32" s="213">
        <f>(867000*0.000453592)+8863</f>
        <v>9256.2642639999995</v>
      </c>
      <c r="K32" s="213">
        <v>7474</v>
      </c>
      <c r="L32" s="213">
        <v>8114</v>
      </c>
      <c r="O32" s="9"/>
      <c r="P32" s="9"/>
      <c r="Q32" s="9"/>
      <c r="R32" s="9"/>
      <c r="S32" s="9"/>
    </row>
    <row r="33" spans="1:18" ht="16" thickBot="1" x14ac:dyDescent="0.4">
      <c r="A33" s="9"/>
      <c r="B33" s="124"/>
      <c r="C33" s="124"/>
      <c r="D33" s="9"/>
      <c r="E33" s="9"/>
      <c r="F33" s="9"/>
      <c r="G33" s="9"/>
      <c r="H33" s="9"/>
      <c r="I33" s="9"/>
      <c r="J33" s="9"/>
      <c r="L33" s="9"/>
      <c r="N33" s="9"/>
      <c r="O33" s="9"/>
      <c r="P33" s="9"/>
      <c r="Q33" s="9"/>
      <c r="R33" s="9"/>
    </row>
    <row r="34" spans="1:18" ht="80" x14ac:dyDescent="0.35">
      <c r="A34" s="9"/>
      <c r="B34" s="883" t="s">
        <v>56</v>
      </c>
      <c r="C34" s="883" t="s">
        <v>274</v>
      </c>
      <c r="D34" s="883" t="s">
        <v>268</v>
      </c>
      <c r="E34" s="883" t="s">
        <v>269</v>
      </c>
      <c r="F34" s="883" t="s">
        <v>270</v>
      </c>
      <c r="G34" s="883" t="s">
        <v>271</v>
      </c>
      <c r="H34" s="883" t="s">
        <v>272</v>
      </c>
      <c r="I34" s="883" t="s">
        <v>275</v>
      </c>
      <c r="M34" s="9"/>
      <c r="N34" s="9"/>
      <c r="O34" s="9"/>
      <c r="P34" s="9"/>
      <c r="Q34" s="9"/>
      <c r="R34" s="9"/>
    </row>
    <row r="35" spans="1:18" ht="16" x14ac:dyDescent="0.35">
      <c r="A35" s="9"/>
      <c r="B35" s="490" t="s">
        <v>43</v>
      </c>
      <c r="C35" s="490" t="s">
        <v>80</v>
      </c>
      <c r="D35" s="810">
        <f>D27</f>
        <v>2353468</v>
      </c>
      <c r="E35" s="810">
        <v>3248917</v>
      </c>
      <c r="F35" s="810">
        <v>1417610</v>
      </c>
      <c r="G35" s="543" t="s">
        <v>276</v>
      </c>
      <c r="H35" s="810">
        <v>3164184</v>
      </c>
      <c r="I35" s="810">
        <f>I36</f>
        <v>18667</v>
      </c>
      <c r="M35" s="9"/>
      <c r="N35" s="9"/>
      <c r="O35" s="9"/>
      <c r="P35" s="9"/>
      <c r="Q35" s="9"/>
      <c r="R35" s="9"/>
    </row>
    <row r="36" spans="1:18" ht="16" x14ac:dyDescent="0.35">
      <c r="A36" s="9"/>
      <c r="B36" s="544"/>
      <c r="C36" s="538" t="s">
        <v>78</v>
      </c>
      <c r="D36" s="811">
        <v>2316571</v>
      </c>
      <c r="E36" s="811">
        <v>3248917</v>
      </c>
      <c r="F36" s="811">
        <v>1409059</v>
      </c>
      <c r="G36" s="546" t="s">
        <v>68</v>
      </c>
      <c r="H36" s="811">
        <v>2571772</v>
      </c>
      <c r="I36" s="811">
        <f>'Planet Positive'!C477</f>
        <v>18667</v>
      </c>
      <c r="M36" s="9"/>
      <c r="N36" s="9"/>
      <c r="O36" s="9"/>
      <c r="P36" s="9"/>
      <c r="Q36" s="9"/>
      <c r="R36" s="9"/>
    </row>
    <row r="37" spans="1:18" ht="16" x14ac:dyDescent="0.35">
      <c r="A37" s="9"/>
      <c r="B37" s="544"/>
      <c r="C37" s="538" t="s">
        <v>76</v>
      </c>
      <c r="D37" s="811">
        <v>36898</v>
      </c>
      <c r="E37" s="812" t="s">
        <v>68</v>
      </c>
      <c r="F37" s="811">
        <v>8551</v>
      </c>
      <c r="G37" s="546" t="s">
        <v>68</v>
      </c>
      <c r="H37" s="811">
        <v>592412</v>
      </c>
      <c r="I37" s="812" t="s">
        <v>68</v>
      </c>
      <c r="M37" s="9"/>
      <c r="N37" s="9"/>
      <c r="O37" s="9"/>
      <c r="P37" s="9"/>
      <c r="Q37" s="9"/>
      <c r="R37" s="9"/>
    </row>
    <row r="38" spans="1:18" ht="48.5" thickBot="1" x14ac:dyDescent="0.4">
      <c r="A38" s="9"/>
      <c r="B38" s="544"/>
      <c r="C38" s="538" t="s">
        <v>277</v>
      </c>
      <c r="D38" s="811">
        <v>112419</v>
      </c>
      <c r="E38" s="218" t="s">
        <v>68</v>
      </c>
      <c r="F38" s="218" t="s">
        <v>68</v>
      </c>
      <c r="G38" s="218" t="s">
        <v>68</v>
      </c>
      <c r="H38" s="218" t="s">
        <v>68</v>
      </c>
      <c r="I38" s="218" t="s">
        <v>68</v>
      </c>
      <c r="M38" s="9"/>
      <c r="N38" s="9"/>
      <c r="O38" s="9"/>
      <c r="P38" s="9"/>
      <c r="Q38" s="9"/>
      <c r="R38" s="9"/>
    </row>
    <row r="39" spans="1:18" ht="16" x14ac:dyDescent="0.35">
      <c r="A39" s="9"/>
      <c r="B39" s="890" t="s">
        <v>476</v>
      </c>
      <c r="C39" s="490" t="s">
        <v>80</v>
      </c>
      <c r="D39" s="542" t="s">
        <v>477</v>
      </c>
      <c r="E39" s="542" t="s">
        <v>478</v>
      </c>
      <c r="F39" s="542">
        <v>1400788</v>
      </c>
      <c r="G39" s="543" t="s">
        <v>276</v>
      </c>
      <c r="H39" s="542">
        <v>2987710</v>
      </c>
      <c r="I39" s="542">
        <v>8699</v>
      </c>
      <c r="M39" s="9"/>
      <c r="N39" s="9"/>
      <c r="O39" s="9"/>
      <c r="P39" s="9"/>
      <c r="Q39" s="9"/>
      <c r="R39" s="9"/>
    </row>
    <row r="40" spans="1:18" ht="16" x14ac:dyDescent="0.35">
      <c r="A40" s="9"/>
      <c r="B40" s="544"/>
      <c r="C40" s="538" t="s">
        <v>78</v>
      </c>
      <c r="D40" s="545">
        <v>2280247.223336664</v>
      </c>
      <c r="E40" s="545" t="s">
        <v>478</v>
      </c>
      <c r="F40" s="545">
        <v>1393505.0126738795</v>
      </c>
      <c r="G40" s="546" t="s">
        <v>68</v>
      </c>
      <c r="H40" s="545">
        <v>2467557.1342314095</v>
      </c>
      <c r="I40" s="545">
        <v>8699</v>
      </c>
      <c r="M40" s="9"/>
      <c r="N40" s="9"/>
      <c r="O40" s="9"/>
      <c r="P40" s="9"/>
      <c r="Q40" s="9"/>
      <c r="R40" s="9"/>
    </row>
    <row r="41" spans="1:18" ht="16" x14ac:dyDescent="0.35">
      <c r="A41" s="9"/>
      <c r="B41" s="544"/>
      <c r="C41" s="538" t="s">
        <v>76</v>
      </c>
      <c r="D41" s="545">
        <v>27700.39160503351</v>
      </c>
      <c r="E41" s="546" t="s">
        <v>276</v>
      </c>
      <c r="F41" s="545">
        <v>7282.9829122205938</v>
      </c>
      <c r="G41" s="546" t="s">
        <v>68</v>
      </c>
      <c r="H41" s="545">
        <v>520153.07520329725</v>
      </c>
      <c r="I41" s="546"/>
      <c r="M41" s="9"/>
      <c r="N41" s="9"/>
      <c r="O41" s="9"/>
      <c r="P41" s="9"/>
      <c r="Q41" s="9"/>
      <c r="R41" s="9"/>
    </row>
    <row r="42" spans="1:18" ht="48.5" thickBot="1" x14ac:dyDescent="0.4">
      <c r="A42" s="9"/>
      <c r="B42" s="544"/>
      <c r="C42" s="538" t="s">
        <v>277</v>
      </c>
      <c r="D42" s="545">
        <v>86196.214523113304</v>
      </c>
      <c r="E42" s="218">
        <v>0</v>
      </c>
      <c r="F42" s="218">
        <v>0</v>
      </c>
      <c r="G42" s="218" t="s">
        <v>68</v>
      </c>
      <c r="H42" s="218">
        <v>0</v>
      </c>
      <c r="I42" s="218">
        <v>0</v>
      </c>
      <c r="J42" s="475"/>
      <c r="M42" s="9"/>
      <c r="N42" s="9"/>
      <c r="O42" s="9"/>
      <c r="P42" s="9"/>
      <c r="Q42" s="9"/>
      <c r="R42" s="9"/>
    </row>
    <row r="43" spans="1:18" ht="16" x14ac:dyDescent="0.35">
      <c r="A43" s="9"/>
      <c r="B43" s="490" t="s">
        <v>44</v>
      </c>
      <c r="C43" s="490" t="s">
        <v>80</v>
      </c>
      <c r="D43" s="542">
        <v>2026834.848</v>
      </c>
      <c r="E43" s="542">
        <v>1761119</v>
      </c>
      <c r="F43" s="542">
        <v>1316689</v>
      </c>
      <c r="G43" s="543" t="s">
        <v>276</v>
      </c>
      <c r="H43" s="542">
        <v>2523580</v>
      </c>
      <c r="I43" s="542">
        <v>8699</v>
      </c>
      <c r="M43" s="9"/>
      <c r="N43" s="9"/>
      <c r="O43" s="9"/>
      <c r="P43" s="9"/>
      <c r="Q43" s="9"/>
      <c r="R43" s="9"/>
    </row>
    <row r="44" spans="1:18" ht="16" x14ac:dyDescent="0.35">
      <c r="A44" s="9"/>
      <c r="B44" s="544"/>
      <c r="C44" s="538" t="s">
        <v>78</v>
      </c>
      <c r="D44" s="545">
        <v>2010065.08</v>
      </c>
      <c r="E44" s="545">
        <v>1761119</v>
      </c>
      <c r="F44" s="545">
        <v>1293432</v>
      </c>
      <c r="G44" s="546" t="s">
        <v>68</v>
      </c>
      <c r="H44" s="545">
        <v>2399410</v>
      </c>
      <c r="I44" s="545">
        <v>8699</v>
      </c>
      <c r="M44" s="9"/>
      <c r="N44" s="9"/>
      <c r="O44" s="9"/>
      <c r="P44" s="9"/>
      <c r="Q44" s="9"/>
      <c r="R44" s="9"/>
    </row>
    <row r="45" spans="1:18" ht="16" x14ac:dyDescent="0.35">
      <c r="A45" s="9"/>
      <c r="B45" s="544"/>
      <c r="C45" s="538" t="s">
        <v>76</v>
      </c>
      <c r="D45" s="545">
        <v>16769.768</v>
      </c>
      <c r="E45" s="546" t="s">
        <v>276</v>
      </c>
      <c r="F45" s="545">
        <v>23257</v>
      </c>
      <c r="G45" s="546" t="s">
        <v>68</v>
      </c>
      <c r="H45" s="545">
        <v>124169</v>
      </c>
      <c r="I45" s="546"/>
      <c r="M45" s="9"/>
      <c r="N45" s="9"/>
      <c r="O45" s="9"/>
      <c r="P45" s="9"/>
      <c r="Q45" s="9"/>
      <c r="R45" s="9"/>
    </row>
    <row r="46" spans="1:18" ht="48.5" thickBot="1" x14ac:dyDescent="0.4">
      <c r="A46" s="9"/>
      <c r="B46" s="544"/>
      <c r="C46" s="538" t="s">
        <v>277</v>
      </c>
      <c r="D46" s="545">
        <v>86196.214523113304</v>
      </c>
      <c r="E46" s="218">
        <v>0</v>
      </c>
      <c r="F46" s="218">
        <v>0</v>
      </c>
      <c r="G46" s="218" t="s">
        <v>68</v>
      </c>
      <c r="H46" s="218">
        <v>0</v>
      </c>
      <c r="I46" s="218">
        <v>0</v>
      </c>
      <c r="J46" s="475"/>
      <c r="M46" s="9"/>
      <c r="N46" s="9"/>
      <c r="O46" s="9"/>
      <c r="P46" s="9"/>
      <c r="Q46" s="9"/>
      <c r="R46" s="9"/>
    </row>
    <row r="47" spans="1:18" ht="16" x14ac:dyDescent="0.35">
      <c r="A47" s="9"/>
      <c r="B47" s="220" t="s">
        <v>45</v>
      </c>
      <c r="C47" s="220" t="s">
        <v>80</v>
      </c>
      <c r="D47" s="547">
        <v>1998587</v>
      </c>
      <c r="E47" s="547">
        <v>1739666</v>
      </c>
      <c r="F47" s="547">
        <v>1312842</v>
      </c>
      <c r="G47" s="222">
        <f>SUM(G48:G50)</f>
        <v>0</v>
      </c>
      <c r="H47" s="547">
        <v>2632</v>
      </c>
      <c r="I47" s="222">
        <f>SUM(I48:I50)</f>
        <v>10562</v>
      </c>
      <c r="K47" s="9"/>
      <c r="L47" s="9"/>
      <c r="M47" s="9"/>
      <c r="N47" s="9"/>
      <c r="O47" s="9"/>
      <c r="P47" s="9"/>
      <c r="Q47" s="9"/>
      <c r="R47" s="9"/>
    </row>
    <row r="48" spans="1:18" ht="16" x14ac:dyDescent="0.35">
      <c r="A48" s="9"/>
      <c r="B48" s="215"/>
      <c r="C48" s="538" t="s">
        <v>78</v>
      </c>
      <c r="D48" s="218">
        <v>2045968.3639511203</v>
      </c>
      <c r="E48" s="218">
        <v>1739303.8011431424</v>
      </c>
      <c r="F48" s="218">
        <v>1312842</v>
      </c>
      <c r="G48" s="218">
        <v>0</v>
      </c>
      <c r="H48" s="218">
        <v>2632</v>
      </c>
      <c r="I48" s="218">
        <f>'Planet Positive'!E505</f>
        <v>10562</v>
      </c>
      <c r="K48" s="9"/>
      <c r="L48" s="9"/>
      <c r="M48" s="9"/>
      <c r="N48" s="9"/>
      <c r="O48" s="9"/>
      <c r="P48" s="9"/>
      <c r="Q48" s="9"/>
      <c r="R48" s="9"/>
    </row>
    <row r="49" spans="1:18" ht="16" x14ac:dyDescent="0.35">
      <c r="A49" s="9"/>
      <c r="B49" s="215"/>
      <c r="C49" s="216" t="s">
        <v>76</v>
      </c>
      <c r="D49" s="218">
        <v>0</v>
      </c>
      <c r="E49" s="218">
        <v>0</v>
      </c>
      <c r="F49" s="218">
        <v>0</v>
      </c>
      <c r="G49" s="218">
        <v>0</v>
      </c>
      <c r="H49" s="218">
        <v>0</v>
      </c>
      <c r="I49" s="218"/>
      <c r="K49" s="9"/>
      <c r="N49" s="9"/>
      <c r="O49" s="9"/>
      <c r="P49" s="9"/>
      <c r="Q49" s="9"/>
      <c r="R49" s="9"/>
    </row>
    <row r="50" spans="1:18" ht="48" x14ac:dyDescent="0.35">
      <c r="A50" s="9"/>
      <c r="B50" s="215"/>
      <c r="C50" s="216" t="s">
        <v>277</v>
      </c>
      <c r="D50" s="218">
        <v>81455.941985982106</v>
      </c>
      <c r="E50" s="218">
        <v>0</v>
      </c>
      <c r="F50" s="218">
        <v>0</v>
      </c>
      <c r="G50" s="218">
        <v>0</v>
      </c>
      <c r="H50" s="218">
        <v>0</v>
      </c>
      <c r="I50" s="218"/>
      <c r="K50" s="9"/>
      <c r="N50" s="9"/>
      <c r="O50" s="9"/>
      <c r="P50" s="9"/>
      <c r="Q50" s="9"/>
      <c r="R50" s="9"/>
    </row>
    <row r="51" spans="1:18" ht="16" x14ac:dyDescent="0.35">
      <c r="A51" s="9"/>
      <c r="B51" s="220" t="s">
        <v>46</v>
      </c>
      <c r="C51" s="220" t="s">
        <v>80</v>
      </c>
      <c r="D51" s="222">
        <f>SUM(D52:D54)</f>
        <v>2669470.6755720144</v>
      </c>
      <c r="E51" s="547">
        <v>1739666</v>
      </c>
      <c r="F51" s="547">
        <v>1393019.798</v>
      </c>
      <c r="G51" s="222">
        <f>SUM(G52:G54)</f>
        <v>0</v>
      </c>
      <c r="H51" s="222">
        <f>SUM(H52:H54)</f>
        <v>4140262.7187077785</v>
      </c>
      <c r="I51" s="222">
        <f>SUM(I52:I54)</f>
        <v>10562</v>
      </c>
      <c r="K51" s="9"/>
      <c r="L51" s="9"/>
      <c r="M51" s="9"/>
      <c r="N51" s="9"/>
      <c r="O51" s="9"/>
      <c r="P51" s="9"/>
      <c r="Q51" s="9"/>
      <c r="R51" s="9"/>
    </row>
    <row r="52" spans="1:18" ht="16" x14ac:dyDescent="0.35">
      <c r="A52" s="9"/>
      <c r="B52" s="215"/>
      <c r="C52" s="538" t="s">
        <v>78</v>
      </c>
      <c r="D52" s="218">
        <v>2045968.3639511203</v>
      </c>
      <c r="E52" s="218">
        <v>1739303.8011431424</v>
      </c>
      <c r="F52" s="218">
        <v>1312842</v>
      </c>
      <c r="G52" s="218">
        <v>0</v>
      </c>
      <c r="H52" s="218">
        <v>2594951.2301522796</v>
      </c>
      <c r="I52" s="218">
        <f>'Planet Positive'!E505</f>
        <v>10562</v>
      </c>
      <c r="K52" s="9"/>
      <c r="L52" s="9"/>
      <c r="M52" s="9"/>
      <c r="N52" s="9"/>
      <c r="O52" s="9"/>
      <c r="P52" s="9"/>
      <c r="Q52" s="9"/>
      <c r="R52" s="9"/>
    </row>
    <row r="53" spans="1:18" ht="16" x14ac:dyDescent="0.35">
      <c r="A53" s="9"/>
      <c r="B53" s="215"/>
      <c r="C53" s="216" t="s">
        <v>76</v>
      </c>
      <c r="D53" s="218">
        <v>542046.369634912</v>
      </c>
      <c r="E53" s="218">
        <v>10430.51397399177</v>
      </c>
      <c r="F53" s="218"/>
      <c r="G53" s="218">
        <v>0</v>
      </c>
      <c r="H53" s="218">
        <v>1545311.4885554989</v>
      </c>
      <c r="I53" s="218"/>
      <c r="K53" s="9"/>
      <c r="N53" s="9"/>
      <c r="O53" s="9"/>
      <c r="P53" s="9"/>
      <c r="Q53" s="9"/>
      <c r="R53" s="9"/>
    </row>
    <row r="54" spans="1:18" ht="48" x14ac:dyDescent="0.35">
      <c r="A54" s="9"/>
      <c r="B54" s="215"/>
      <c r="C54" s="216" t="s">
        <v>277</v>
      </c>
      <c r="D54" s="585">
        <v>81455.941985982106</v>
      </c>
      <c r="E54" s="218">
        <v>0</v>
      </c>
      <c r="F54" s="218">
        <v>0</v>
      </c>
      <c r="G54" s="218">
        <v>0</v>
      </c>
      <c r="H54" s="218">
        <v>0</v>
      </c>
      <c r="I54" s="218">
        <v>0</v>
      </c>
      <c r="K54" s="9"/>
      <c r="N54" s="9"/>
      <c r="O54" s="9"/>
      <c r="P54" s="9"/>
      <c r="Q54" s="9"/>
      <c r="R54" s="9"/>
    </row>
    <row r="55" spans="1:18" ht="16" x14ac:dyDescent="0.35">
      <c r="A55" s="9"/>
      <c r="B55" s="220" t="s">
        <v>47</v>
      </c>
      <c r="C55" s="220" t="s">
        <v>80</v>
      </c>
      <c r="D55" s="449">
        <f>D56+D58</f>
        <v>2039116.8671622889</v>
      </c>
      <c r="E55" s="222">
        <v>1653418</v>
      </c>
      <c r="F55" s="222">
        <v>1380864</v>
      </c>
      <c r="G55" s="222">
        <v>0</v>
      </c>
      <c r="H55" s="222">
        <v>2583538</v>
      </c>
      <c r="I55" s="222"/>
      <c r="N55" s="9"/>
      <c r="O55" s="9"/>
      <c r="P55" s="9"/>
      <c r="Q55" s="9"/>
      <c r="R55" s="9"/>
    </row>
    <row r="56" spans="1:18" ht="16" x14ac:dyDescent="0.35">
      <c r="A56" s="9"/>
      <c r="B56" s="215"/>
      <c r="C56" s="538" t="s">
        <v>78</v>
      </c>
      <c r="D56" s="218">
        <v>1985347</v>
      </c>
      <c r="E56" s="218">
        <v>1653418</v>
      </c>
      <c r="F56" s="218">
        <v>1268167</v>
      </c>
      <c r="G56" s="218"/>
      <c r="H56" s="218">
        <v>2264</v>
      </c>
      <c r="I56" s="218"/>
      <c r="N56" s="9"/>
      <c r="O56" s="9"/>
      <c r="P56" s="9"/>
      <c r="Q56" s="9"/>
      <c r="R56" s="9"/>
    </row>
    <row r="57" spans="1:18" ht="16" x14ac:dyDescent="0.35">
      <c r="A57" s="9"/>
      <c r="B57" s="215"/>
      <c r="C57" s="216" t="s">
        <v>76</v>
      </c>
      <c r="D57" s="218">
        <v>0</v>
      </c>
      <c r="E57" s="218">
        <v>0</v>
      </c>
      <c r="F57" s="218">
        <v>0</v>
      </c>
      <c r="G57" s="218">
        <v>0</v>
      </c>
      <c r="H57" s="218">
        <v>0</v>
      </c>
      <c r="I57" s="218"/>
      <c r="N57" s="9"/>
      <c r="O57" s="9"/>
      <c r="P57" s="9"/>
      <c r="Q57" s="9"/>
      <c r="R57" s="9"/>
    </row>
    <row r="58" spans="1:18" ht="48" x14ac:dyDescent="0.35">
      <c r="A58" s="9"/>
      <c r="B58" s="215"/>
      <c r="C58" s="216" t="s">
        <v>277</v>
      </c>
      <c r="D58" s="218">
        <v>53769.867162288763</v>
      </c>
      <c r="E58" s="218">
        <v>0</v>
      </c>
      <c r="F58" s="218">
        <v>0</v>
      </c>
      <c r="G58" s="218">
        <v>0</v>
      </c>
      <c r="H58" s="218">
        <v>0</v>
      </c>
      <c r="I58" s="218"/>
      <c r="N58" s="9"/>
      <c r="O58" s="9"/>
      <c r="P58" s="9"/>
      <c r="Q58" s="9"/>
      <c r="R58" s="9"/>
    </row>
    <row r="59" spans="1:18" ht="16" x14ac:dyDescent="0.35">
      <c r="A59" s="9"/>
      <c r="B59" s="220" t="s">
        <v>48</v>
      </c>
      <c r="C59" s="220" t="s">
        <v>80</v>
      </c>
      <c r="D59" s="222">
        <v>2574375</v>
      </c>
      <c r="E59" s="224">
        <v>1653418</v>
      </c>
      <c r="F59" s="224">
        <v>1380864</v>
      </c>
      <c r="G59" s="224">
        <f>SUM(G60:G62)</f>
        <v>4718.5512013814196</v>
      </c>
      <c r="H59" s="224">
        <v>4131</v>
      </c>
      <c r="I59" s="224">
        <f>J32</f>
        <v>9256.2642639999995</v>
      </c>
      <c r="N59" s="9"/>
      <c r="O59" s="9"/>
      <c r="P59" s="9"/>
      <c r="Q59" s="9"/>
      <c r="R59" s="9"/>
    </row>
    <row r="60" spans="1:18" ht="16" x14ac:dyDescent="0.35">
      <c r="A60" s="9"/>
      <c r="B60" s="215"/>
      <c r="C60" s="538" t="s">
        <v>78</v>
      </c>
      <c r="D60" s="218">
        <f>1985346720.6512/1000</f>
        <v>1985346.7206512</v>
      </c>
      <c r="E60" s="218">
        <v>1653418.4099528843</v>
      </c>
      <c r="F60" s="218">
        <v>1268167.2236565244</v>
      </c>
      <c r="G60" s="218" t="s">
        <v>68</v>
      </c>
      <c r="H60" s="218">
        <f>2264188.31009/1000</f>
        <v>2264.18831009</v>
      </c>
      <c r="I60" s="218" t="s">
        <v>68</v>
      </c>
      <c r="M60" s="9"/>
      <c r="N60" s="9"/>
      <c r="O60" s="9"/>
      <c r="P60" s="9"/>
      <c r="Q60" s="9"/>
      <c r="R60" s="9"/>
    </row>
    <row r="61" spans="1:18" ht="16" x14ac:dyDescent="0.35">
      <c r="A61" s="9"/>
      <c r="B61" s="215"/>
      <c r="C61" s="216" t="s">
        <v>76</v>
      </c>
      <c r="D61" s="218">
        <f>589028023.073724/1000</f>
        <v>589028.02307372401</v>
      </c>
      <c r="E61" s="218" t="s">
        <v>68</v>
      </c>
      <c r="F61" s="218">
        <v>112697.24592668095</v>
      </c>
      <c r="G61" s="218">
        <v>4718.5512013814196</v>
      </c>
      <c r="H61" s="218">
        <f>1866786.5134195/1000</f>
        <v>1866.7865134195001</v>
      </c>
      <c r="I61" s="218" t="s">
        <v>68</v>
      </c>
      <c r="M61" s="9"/>
      <c r="N61" s="9"/>
      <c r="O61" s="9"/>
      <c r="P61" s="9"/>
      <c r="Q61" s="9"/>
      <c r="R61" s="9"/>
    </row>
    <row r="62" spans="1:18" ht="48" x14ac:dyDescent="0.35">
      <c r="A62" s="9"/>
      <c r="B62" s="215"/>
      <c r="C62" s="216" t="s">
        <v>277</v>
      </c>
      <c r="D62" s="218">
        <v>53769.867162288763</v>
      </c>
      <c r="E62" s="218" t="s">
        <v>68</v>
      </c>
      <c r="F62" s="218" t="s">
        <v>68</v>
      </c>
      <c r="G62" s="218" t="s">
        <v>68</v>
      </c>
      <c r="H62" s="218" t="s">
        <v>68</v>
      </c>
      <c r="I62" s="218" t="s">
        <v>68</v>
      </c>
      <c r="K62" s="9"/>
      <c r="L62" s="9"/>
      <c r="M62" s="9"/>
      <c r="N62" s="9"/>
      <c r="O62" s="9"/>
      <c r="P62" s="9"/>
      <c r="Q62" s="9"/>
      <c r="R62" s="9"/>
    </row>
    <row r="63" spans="1:18" ht="16" x14ac:dyDescent="0.35">
      <c r="A63" s="9"/>
      <c r="B63" s="220" t="s">
        <v>49</v>
      </c>
      <c r="C63" s="221" t="s">
        <v>80</v>
      </c>
      <c r="D63" s="222">
        <v>2534000</v>
      </c>
      <c r="E63" s="222">
        <v>1609000</v>
      </c>
      <c r="F63" s="222">
        <v>1425000</v>
      </c>
      <c r="G63" s="222">
        <f>SUM(G64:G66)</f>
        <v>4320</v>
      </c>
      <c r="H63" s="222">
        <v>4500</v>
      </c>
      <c r="I63" s="222">
        <v>7474</v>
      </c>
      <c r="K63" s="9"/>
      <c r="L63" s="9"/>
      <c r="M63" s="9"/>
      <c r="N63" s="9"/>
      <c r="O63" s="9"/>
      <c r="P63" s="9"/>
      <c r="Q63" s="9"/>
      <c r="R63" s="9"/>
    </row>
    <row r="64" spans="1:18" ht="16" x14ac:dyDescent="0.35">
      <c r="A64" s="9"/>
      <c r="B64" s="215"/>
      <c r="C64" s="538" t="s">
        <v>78</v>
      </c>
      <c r="D64" s="218">
        <v>1870000</v>
      </c>
      <c r="E64" s="218">
        <v>1609000</v>
      </c>
      <c r="F64" s="218">
        <v>1195000</v>
      </c>
      <c r="G64" s="218" t="s">
        <v>68</v>
      </c>
      <c r="H64" s="218">
        <v>2200</v>
      </c>
      <c r="I64" s="218" t="s">
        <v>68</v>
      </c>
      <c r="K64" s="9"/>
      <c r="L64" s="9"/>
      <c r="M64" s="9"/>
      <c r="N64" s="9"/>
      <c r="O64" s="9"/>
      <c r="P64" s="9"/>
      <c r="Q64" s="9"/>
      <c r="R64" s="9"/>
    </row>
    <row r="65" spans="1:20" ht="16" x14ac:dyDescent="0.35">
      <c r="A65" s="9"/>
      <c r="B65" s="215"/>
      <c r="C65" s="216" t="s">
        <v>76</v>
      </c>
      <c r="D65" s="218">
        <v>610000</v>
      </c>
      <c r="E65" s="218" t="s">
        <v>68</v>
      </c>
      <c r="F65" s="218">
        <v>230000</v>
      </c>
      <c r="G65" s="218">
        <v>4320</v>
      </c>
      <c r="H65" s="218">
        <v>2300</v>
      </c>
      <c r="I65" s="218" t="s">
        <v>68</v>
      </c>
      <c r="K65" s="9"/>
      <c r="L65" s="9"/>
      <c r="M65" s="9"/>
      <c r="N65" s="9"/>
      <c r="O65" s="9"/>
      <c r="P65" s="9"/>
      <c r="Q65" s="9"/>
      <c r="R65" s="9"/>
    </row>
    <row r="66" spans="1:20" ht="48.5" thickBot="1" x14ac:dyDescent="0.4">
      <c r="A66" s="9"/>
      <c r="B66" s="215"/>
      <c r="C66" s="216" t="s">
        <v>277</v>
      </c>
      <c r="D66" s="218">
        <v>54000</v>
      </c>
      <c r="E66" s="218" t="s">
        <v>68</v>
      </c>
      <c r="F66" s="218" t="s">
        <v>68</v>
      </c>
      <c r="G66" s="218" t="s">
        <v>68</v>
      </c>
      <c r="H66" s="218" t="s">
        <v>68</v>
      </c>
      <c r="I66" s="218" t="s">
        <v>68</v>
      </c>
      <c r="K66" s="9"/>
      <c r="L66" s="9"/>
      <c r="M66" s="9"/>
      <c r="N66" s="9"/>
      <c r="O66" s="9"/>
      <c r="P66" s="9"/>
      <c r="Q66" s="9"/>
      <c r="R66" s="9"/>
    </row>
    <row r="67" spans="1:20" ht="16" x14ac:dyDescent="0.35">
      <c r="A67" s="9"/>
      <c r="B67" s="721" t="s">
        <v>278</v>
      </c>
      <c r="C67" s="221" t="s">
        <v>80</v>
      </c>
      <c r="D67" s="222">
        <v>2349000</v>
      </c>
      <c r="E67" s="222">
        <v>1491000</v>
      </c>
      <c r="F67" s="222">
        <v>1389000</v>
      </c>
      <c r="G67" s="222">
        <v>173920</v>
      </c>
      <c r="H67" s="222">
        <v>4220</v>
      </c>
      <c r="I67" s="222">
        <v>8114</v>
      </c>
      <c r="K67" s="9"/>
      <c r="L67" s="9"/>
      <c r="M67" s="9"/>
      <c r="N67" s="9"/>
      <c r="O67" s="9"/>
      <c r="P67" s="9"/>
      <c r="Q67" s="9"/>
      <c r="R67" s="9"/>
    </row>
    <row r="68" spans="1:20" ht="16" x14ac:dyDescent="0.35">
      <c r="A68" s="9"/>
      <c r="B68" s="214"/>
      <c r="C68" s="538" t="s">
        <v>78</v>
      </c>
      <c r="D68" s="218">
        <v>1800000</v>
      </c>
      <c r="E68" s="218">
        <v>1491000</v>
      </c>
      <c r="F68" s="218">
        <v>1189000</v>
      </c>
      <c r="G68" s="218" t="s">
        <v>68</v>
      </c>
      <c r="H68" s="218">
        <v>2000</v>
      </c>
      <c r="I68" s="218" t="s">
        <v>68</v>
      </c>
      <c r="K68" s="9"/>
      <c r="L68" s="9"/>
      <c r="M68" s="9"/>
      <c r="N68" s="9"/>
      <c r="O68" s="9"/>
      <c r="P68" s="9"/>
      <c r="Q68" s="9"/>
      <c r="R68" s="9"/>
    </row>
    <row r="69" spans="1:20" ht="16" x14ac:dyDescent="0.35">
      <c r="A69" s="9"/>
      <c r="B69" s="214"/>
      <c r="C69" s="216" t="s">
        <v>76</v>
      </c>
      <c r="D69" s="218">
        <v>549000</v>
      </c>
      <c r="E69" s="218" t="s">
        <v>68</v>
      </c>
      <c r="F69" s="218">
        <v>200000</v>
      </c>
      <c r="G69" s="218">
        <v>3920</v>
      </c>
      <c r="H69" s="218">
        <v>2220</v>
      </c>
      <c r="I69" s="218" t="s">
        <v>68</v>
      </c>
      <c r="K69" s="9"/>
      <c r="L69" s="9"/>
      <c r="M69" s="9"/>
      <c r="N69" s="9"/>
      <c r="O69" s="9"/>
      <c r="P69" s="9"/>
      <c r="Q69" s="9"/>
      <c r="R69" s="9"/>
    </row>
    <row r="70" spans="1:20" ht="48.5" thickBot="1" x14ac:dyDescent="0.4">
      <c r="A70" s="9"/>
      <c r="B70" s="223"/>
      <c r="C70" s="670" t="s">
        <v>277</v>
      </c>
      <c r="D70" s="219">
        <v>36103</v>
      </c>
      <c r="E70" s="219" t="s">
        <v>68</v>
      </c>
      <c r="F70" s="219" t="s">
        <v>68</v>
      </c>
      <c r="G70" s="219" t="s">
        <v>68</v>
      </c>
      <c r="H70" s="219" t="s">
        <v>68</v>
      </c>
      <c r="I70" s="219" t="s">
        <v>68</v>
      </c>
      <c r="K70" s="9"/>
      <c r="L70" s="9"/>
      <c r="M70" s="9"/>
      <c r="N70" s="9"/>
      <c r="O70" s="9"/>
      <c r="P70" s="9"/>
      <c r="Q70" s="9"/>
      <c r="R70" s="9"/>
    </row>
    <row r="71" spans="1:20" ht="17.5" x14ac:dyDescent="0.45">
      <c r="A71" s="9"/>
      <c r="B71" s="115"/>
      <c r="C71" s="122"/>
      <c r="D71" s="123"/>
      <c r="E71" s="115"/>
      <c r="F71" s="122"/>
      <c r="G71" s="107"/>
      <c r="H71" s="107"/>
      <c r="I71" s="107"/>
      <c r="J71" s="9"/>
      <c r="M71" s="9"/>
      <c r="N71" s="9"/>
      <c r="O71" s="9"/>
      <c r="P71" s="9"/>
      <c r="Q71" s="9"/>
      <c r="R71" s="9"/>
    </row>
    <row r="72" spans="1:20" s="606" customFormat="1" ht="21" x14ac:dyDescent="0.45">
      <c r="B72" s="628" t="s">
        <v>242</v>
      </c>
      <c r="C72" s="625"/>
      <c r="D72" s="629"/>
      <c r="E72" s="629"/>
      <c r="F72" s="629"/>
      <c r="G72" s="629"/>
      <c r="H72" s="629"/>
      <c r="I72" s="629"/>
    </row>
    <row r="73" spans="1:20" ht="5.5" customHeight="1" x14ac:dyDescent="0.45">
      <c r="A73" s="9"/>
      <c r="B73" s="111"/>
      <c r="C73" s="111"/>
      <c r="D73" s="107"/>
      <c r="E73" s="107"/>
      <c r="F73" s="107"/>
      <c r="G73" s="107"/>
      <c r="H73" s="107"/>
      <c r="I73" s="107"/>
      <c r="J73" s="9"/>
      <c r="K73" s="9"/>
      <c r="L73" s="9"/>
      <c r="N73" s="9"/>
      <c r="O73" s="9"/>
      <c r="P73" s="9"/>
      <c r="Q73" s="9"/>
      <c r="R73" s="9"/>
    </row>
    <row r="74" spans="1:20" s="606" customFormat="1" ht="17.5" x14ac:dyDescent="0.45">
      <c r="B74" s="630" t="s">
        <v>279</v>
      </c>
      <c r="C74" s="631"/>
      <c r="D74" s="629"/>
      <c r="E74" s="629"/>
      <c r="F74" s="629"/>
      <c r="G74" s="629"/>
      <c r="H74" s="629"/>
      <c r="I74" s="629"/>
      <c r="J74" s="629"/>
      <c r="K74" s="629"/>
    </row>
    <row r="75" spans="1:20" ht="5.5" customHeight="1" thickBot="1" x14ac:dyDescent="0.5">
      <c r="A75" s="9"/>
      <c r="B75" s="111"/>
      <c r="C75" s="111"/>
      <c r="D75" s="107"/>
      <c r="E75" s="107"/>
      <c r="F75" s="107"/>
      <c r="G75" s="107"/>
      <c r="H75" s="107"/>
      <c r="I75" s="107"/>
      <c r="J75" s="9"/>
      <c r="K75" s="9"/>
      <c r="L75" s="9"/>
      <c r="N75" s="9"/>
      <c r="O75" s="9"/>
      <c r="P75" s="9"/>
      <c r="Q75" s="9"/>
      <c r="R75" s="9"/>
    </row>
    <row r="76" spans="1:20" ht="31" x14ac:dyDescent="0.45">
      <c r="A76" s="9"/>
      <c r="B76" s="635" t="s">
        <v>80</v>
      </c>
      <c r="C76" s="636" t="s">
        <v>280</v>
      </c>
      <c r="D76" s="636" t="s">
        <v>281</v>
      </c>
      <c r="E76" s="883" t="s">
        <v>45</v>
      </c>
      <c r="F76" s="883" t="s">
        <v>46</v>
      </c>
      <c r="G76" s="868" t="s">
        <v>282</v>
      </c>
      <c r="H76" s="883" t="s">
        <v>48</v>
      </c>
      <c r="I76" s="883" t="s">
        <v>49</v>
      </c>
      <c r="J76" s="883" t="s">
        <v>50</v>
      </c>
      <c r="K76" s="9"/>
      <c r="L76" s="9"/>
      <c r="M76" s="107"/>
      <c r="P76" s="9"/>
      <c r="Q76" s="9"/>
      <c r="R76" s="9"/>
      <c r="S76" s="9"/>
      <c r="T76" s="9"/>
    </row>
    <row r="77" spans="1:20" ht="17.5" x14ac:dyDescent="0.45">
      <c r="A77" s="9"/>
      <c r="B77" s="235" t="s">
        <v>283</v>
      </c>
      <c r="C77" s="525">
        <v>5023</v>
      </c>
      <c r="D77" s="525">
        <v>2547</v>
      </c>
      <c r="E77" s="392">
        <v>3288</v>
      </c>
      <c r="F77" s="393" t="s">
        <v>89</v>
      </c>
      <c r="G77" s="392">
        <v>1603</v>
      </c>
      <c r="H77" s="225" t="s">
        <v>89</v>
      </c>
      <c r="I77" s="227" t="s">
        <v>284</v>
      </c>
      <c r="J77" s="211" t="s">
        <v>285</v>
      </c>
      <c r="K77" s="9"/>
      <c r="L77" s="9"/>
      <c r="M77" s="107"/>
      <c r="P77" s="9"/>
      <c r="Q77" s="9"/>
      <c r="R77" s="9"/>
      <c r="S77" s="9"/>
      <c r="T77" s="9"/>
    </row>
    <row r="78" spans="1:20" ht="32" x14ac:dyDescent="0.45">
      <c r="A78" s="9"/>
      <c r="B78" s="237" t="s">
        <v>286</v>
      </c>
      <c r="C78" s="524">
        <v>2526</v>
      </c>
      <c r="D78" s="524">
        <v>1844</v>
      </c>
      <c r="E78" s="394">
        <v>2305</v>
      </c>
      <c r="F78" s="395" t="s">
        <v>89</v>
      </c>
      <c r="G78" s="396">
        <v>1472</v>
      </c>
      <c r="H78" s="226" t="s">
        <v>89</v>
      </c>
      <c r="I78" s="228" t="s">
        <v>287</v>
      </c>
      <c r="J78" s="228" t="s">
        <v>288</v>
      </c>
      <c r="K78" s="9"/>
      <c r="L78" s="9"/>
      <c r="M78" s="107"/>
      <c r="P78" s="9"/>
      <c r="Q78" s="9"/>
      <c r="R78" s="9"/>
      <c r="S78" s="9"/>
      <c r="T78" s="9"/>
    </row>
    <row r="79" spans="1:20" ht="17.5" x14ac:dyDescent="0.45">
      <c r="A79" s="9"/>
      <c r="B79" s="236"/>
      <c r="D79" s="532" t="s">
        <v>289</v>
      </c>
      <c r="E79" s="526"/>
      <c r="F79" s="527"/>
      <c r="G79" s="528"/>
      <c r="H79" s="529"/>
      <c r="I79" s="530"/>
      <c r="J79" s="530"/>
      <c r="K79" s="531"/>
      <c r="L79" s="9"/>
      <c r="M79" s="107"/>
      <c r="P79" s="9"/>
      <c r="Q79" s="9"/>
      <c r="R79" s="9"/>
      <c r="S79" s="9"/>
      <c r="T79" s="9"/>
    </row>
    <row r="80" spans="1:20" ht="16" x14ac:dyDescent="0.35">
      <c r="A80" s="9"/>
      <c r="B80" s="115"/>
      <c r="C80" s="122"/>
      <c r="D80" s="115"/>
      <c r="E80" s="122"/>
      <c r="F80" s="122"/>
      <c r="G80" s="122"/>
      <c r="H80" s="115"/>
      <c r="I80" s="122"/>
      <c r="J80" s="9"/>
      <c r="K80" s="9"/>
      <c r="L80" s="9"/>
      <c r="M80" s="9"/>
      <c r="N80" s="9"/>
      <c r="O80" s="9"/>
      <c r="P80" s="9"/>
      <c r="Q80" s="9"/>
      <c r="R80" s="9"/>
    </row>
    <row r="81" spans="1:20" s="606" customFormat="1" ht="21" x14ac:dyDescent="0.45">
      <c r="B81" s="727" t="s">
        <v>290</v>
      </c>
      <c r="C81" s="625"/>
      <c r="D81" s="629"/>
      <c r="E81" s="629"/>
      <c r="F81" s="629"/>
      <c r="G81" s="629"/>
      <c r="H81" s="629"/>
      <c r="I81" s="629"/>
    </row>
    <row r="82" spans="1:20" ht="5.5" customHeight="1" x14ac:dyDescent="0.45">
      <c r="A82" s="9"/>
      <c r="B82" s="111"/>
      <c r="C82" s="111"/>
      <c r="D82" s="107"/>
      <c r="E82" s="107"/>
      <c r="F82" s="107"/>
      <c r="G82" s="107"/>
      <c r="H82" s="107"/>
      <c r="I82" s="107"/>
      <c r="J82" s="9"/>
      <c r="K82" s="9"/>
      <c r="L82" s="9"/>
      <c r="N82" s="9"/>
      <c r="O82" s="9"/>
      <c r="P82" s="9"/>
      <c r="Q82" s="9"/>
      <c r="R82" s="9"/>
    </row>
    <row r="83" spans="1:20" s="606" customFormat="1" ht="17.5" x14ac:dyDescent="0.45">
      <c r="B83" s="630" t="s">
        <v>246</v>
      </c>
      <c r="C83" s="631"/>
      <c r="D83" s="629"/>
      <c r="E83" s="629"/>
      <c r="F83" s="629"/>
      <c r="G83" s="629"/>
      <c r="H83" s="629"/>
      <c r="I83" s="629"/>
      <c r="K83" s="629"/>
    </row>
    <row r="84" spans="1:20" ht="5.5" customHeight="1" thickBot="1" x14ac:dyDescent="0.5">
      <c r="A84" s="9"/>
      <c r="B84" s="111"/>
      <c r="C84" s="111"/>
      <c r="D84" s="107"/>
      <c r="E84" s="107"/>
      <c r="F84" s="107"/>
      <c r="G84" s="107"/>
      <c r="H84" s="107"/>
      <c r="I84" s="107"/>
      <c r="J84" s="9"/>
      <c r="K84" s="9"/>
      <c r="L84" s="9"/>
      <c r="N84" s="9"/>
      <c r="O84" s="9"/>
      <c r="P84" s="9"/>
      <c r="Q84" s="9"/>
      <c r="R84" s="9"/>
    </row>
    <row r="85" spans="1:20" ht="32" x14ac:dyDescent="0.35">
      <c r="A85" s="9"/>
      <c r="B85" s="883" t="s">
        <v>57</v>
      </c>
      <c r="C85" s="637" t="s">
        <v>43</v>
      </c>
      <c r="D85" s="637" t="s">
        <v>44</v>
      </c>
      <c r="E85" s="883" t="s">
        <v>45</v>
      </c>
      <c r="F85" s="883" t="s">
        <v>46</v>
      </c>
      <c r="G85" s="883" t="s">
        <v>47</v>
      </c>
      <c r="H85" s="883" t="s">
        <v>48</v>
      </c>
      <c r="I85" s="635" t="s">
        <v>49</v>
      </c>
      <c r="J85" s="883" t="s">
        <v>57</v>
      </c>
      <c r="K85" s="883" t="s">
        <v>50</v>
      </c>
      <c r="L85" s="9"/>
      <c r="M85" s="9"/>
      <c r="N85" s="9"/>
      <c r="O85" s="9"/>
      <c r="P85" s="9"/>
      <c r="Q85" s="9"/>
      <c r="R85" s="9"/>
      <c r="S85" s="9"/>
      <c r="T85" s="9"/>
    </row>
    <row r="86" spans="1:20" ht="16.5" x14ac:dyDescent="0.45">
      <c r="A86" s="9"/>
      <c r="B86" s="214" t="s">
        <v>80</v>
      </c>
      <c r="C86" s="476">
        <v>12118</v>
      </c>
      <c r="D86" s="476">
        <v>12065</v>
      </c>
      <c r="E86" s="310">
        <v>11744</v>
      </c>
      <c r="F86" s="310">
        <v>12841</v>
      </c>
      <c r="G86" s="310">
        <v>10821</v>
      </c>
      <c r="H86" s="232">
        <v>11922</v>
      </c>
      <c r="I86" s="241">
        <v>13797</v>
      </c>
      <c r="J86" s="214" t="s">
        <v>80</v>
      </c>
      <c r="K86" s="217">
        <v>14996</v>
      </c>
      <c r="L86" s="9"/>
      <c r="M86" s="9"/>
      <c r="P86" s="9"/>
      <c r="Q86" s="9"/>
      <c r="R86" s="9"/>
      <c r="S86" s="9"/>
      <c r="T86" s="9"/>
    </row>
    <row r="87" spans="1:20" ht="16.5" x14ac:dyDescent="0.45">
      <c r="A87" s="9"/>
      <c r="B87" s="230" t="s">
        <v>51</v>
      </c>
      <c r="C87" s="477">
        <v>4451</v>
      </c>
      <c r="D87" s="477">
        <v>4543</v>
      </c>
      <c r="E87" s="311">
        <v>4151</v>
      </c>
      <c r="F87" s="311">
        <v>4151</v>
      </c>
      <c r="G87" s="311">
        <v>3714</v>
      </c>
      <c r="H87" s="233">
        <v>3714</v>
      </c>
      <c r="I87" s="242">
        <v>5702</v>
      </c>
      <c r="J87" s="230" t="s">
        <v>51</v>
      </c>
      <c r="K87" s="211">
        <f>484+5422</f>
        <v>5906</v>
      </c>
      <c r="L87" s="9"/>
      <c r="P87" s="9"/>
      <c r="Q87" s="9"/>
      <c r="R87" s="9"/>
      <c r="S87" s="9"/>
      <c r="T87" s="9"/>
    </row>
    <row r="88" spans="1:20" ht="16.5" x14ac:dyDescent="0.45">
      <c r="A88" s="9"/>
      <c r="B88" s="230" t="s">
        <v>52</v>
      </c>
      <c r="C88" s="477">
        <v>5412</v>
      </c>
      <c r="D88" s="477">
        <v>5355</v>
      </c>
      <c r="E88" s="311">
        <v>5387</v>
      </c>
      <c r="F88" s="311">
        <v>5387</v>
      </c>
      <c r="G88" s="311">
        <v>4814</v>
      </c>
      <c r="H88" s="233">
        <v>4814</v>
      </c>
      <c r="I88" s="242">
        <v>4515</v>
      </c>
      <c r="J88" s="230" t="s">
        <v>52</v>
      </c>
      <c r="K88" s="211">
        <f>1680+2366</f>
        <v>4046</v>
      </c>
      <c r="L88" s="9"/>
      <c r="P88" s="9"/>
      <c r="Q88" s="9"/>
      <c r="R88" s="9"/>
      <c r="S88" s="9"/>
      <c r="T88" s="9"/>
    </row>
    <row r="89" spans="1:20" ht="16.5" x14ac:dyDescent="0.45">
      <c r="A89" s="9"/>
      <c r="B89" s="230" t="s">
        <v>53</v>
      </c>
      <c r="C89" s="477">
        <v>1663</v>
      </c>
      <c r="D89" s="477">
        <v>1571</v>
      </c>
      <c r="E89" s="311">
        <v>1537</v>
      </c>
      <c r="F89" s="311">
        <v>1537</v>
      </c>
      <c r="G89" s="311">
        <v>1580</v>
      </c>
      <c r="H89" s="233">
        <v>1580</v>
      </c>
      <c r="I89" s="242">
        <v>1634</v>
      </c>
      <c r="J89" s="230" t="s">
        <v>53</v>
      </c>
      <c r="K89" s="211">
        <v>1522</v>
      </c>
      <c r="L89" s="9"/>
      <c r="P89" s="9"/>
      <c r="Q89" s="9"/>
      <c r="R89" s="9"/>
      <c r="S89" s="9"/>
      <c r="T89" s="9"/>
    </row>
    <row r="90" spans="1:20" ht="16.5" x14ac:dyDescent="0.45">
      <c r="A90" s="9"/>
      <c r="B90" s="230" t="s">
        <v>76</v>
      </c>
      <c r="C90" s="479" t="s">
        <v>89</v>
      </c>
      <c r="D90" s="479" t="s">
        <v>89</v>
      </c>
      <c r="E90" s="386" t="s">
        <v>89</v>
      </c>
      <c r="F90" s="311">
        <v>1097</v>
      </c>
      <c r="G90" s="386" t="s">
        <v>89</v>
      </c>
      <c r="H90" s="233">
        <v>1101</v>
      </c>
      <c r="I90" s="242">
        <v>1220</v>
      </c>
      <c r="J90" s="230" t="s">
        <v>76</v>
      </c>
      <c r="K90" s="211">
        <v>1159</v>
      </c>
      <c r="L90" s="9"/>
      <c r="P90" s="9"/>
      <c r="Q90" s="9"/>
      <c r="R90" s="9"/>
      <c r="S90" s="9"/>
      <c r="T90" s="9"/>
    </row>
    <row r="91" spans="1:20" ht="17" thickBot="1" x14ac:dyDescent="0.5">
      <c r="A91" s="9"/>
      <c r="B91" s="237" t="s">
        <v>92</v>
      </c>
      <c r="C91" s="312">
        <v>592</v>
      </c>
      <c r="D91" s="312">
        <v>596</v>
      </c>
      <c r="E91" s="478">
        <v>669</v>
      </c>
      <c r="F91" s="312">
        <v>669</v>
      </c>
      <c r="G91" s="312">
        <v>713</v>
      </c>
      <c r="H91" s="234">
        <v>713</v>
      </c>
      <c r="I91" s="243">
        <v>726</v>
      </c>
      <c r="J91" s="230" t="s">
        <v>82</v>
      </c>
      <c r="K91" s="211">
        <v>1705</v>
      </c>
      <c r="L91" s="9"/>
      <c r="P91" s="9"/>
      <c r="Q91" s="9"/>
      <c r="R91" s="9"/>
      <c r="S91" s="9"/>
      <c r="T91" s="9"/>
    </row>
    <row r="92" spans="1:20" ht="18" thickBot="1" x14ac:dyDescent="0.5">
      <c r="A92" s="9"/>
      <c r="B92" s="107"/>
      <c r="D92" s="107"/>
      <c r="H92" s="9"/>
      <c r="I92" s="107"/>
      <c r="J92" s="722" t="s">
        <v>92</v>
      </c>
      <c r="K92" s="229">
        <v>658</v>
      </c>
      <c r="L92" s="9"/>
      <c r="P92" s="9"/>
      <c r="Q92" s="9"/>
      <c r="R92" s="9"/>
      <c r="S92" s="9"/>
      <c r="T92" s="9"/>
    </row>
    <row r="93" spans="1:20" ht="17.5" x14ac:dyDescent="0.45">
      <c r="A93" s="9"/>
      <c r="B93" s="107"/>
      <c r="C93" s="9"/>
      <c r="D93" s="107"/>
      <c r="E93" s="107"/>
      <c r="F93" s="107"/>
      <c r="G93" s="107"/>
      <c r="H93" s="107"/>
      <c r="I93" s="107"/>
      <c r="J93" s="9"/>
      <c r="M93" s="9"/>
      <c r="N93" s="9"/>
      <c r="O93" s="9"/>
      <c r="P93" s="9"/>
      <c r="Q93" s="9"/>
      <c r="R93" s="9"/>
    </row>
    <row r="94" spans="1:20" s="606" customFormat="1" ht="17.5" x14ac:dyDescent="0.45">
      <c r="B94" s="630" t="s">
        <v>248</v>
      </c>
      <c r="C94" s="631"/>
      <c r="D94" s="629"/>
      <c r="E94" s="629"/>
      <c r="F94" s="629"/>
      <c r="G94" s="629"/>
      <c r="H94" s="629"/>
      <c r="I94" s="629"/>
      <c r="K94" s="629"/>
    </row>
    <row r="95" spans="1:20" ht="5.5" customHeight="1" thickBot="1" x14ac:dyDescent="0.5">
      <c r="A95" s="9"/>
      <c r="B95" s="111"/>
      <c r="C95" s="111"/>
      <c r="D95" s="107"/>
      <c r="E95" s="107"/>
      <c r="F95" s="107"/>
      <c r="G95" s="107"/>
      <c r="H95" s="107"/>
      <c r="I95" s="107"/>
      <c r="J95" s="9"/>
      <c r="K95" s="9"/>
      <c r="L95" s="9"/>
      <c r="N95" s="9"/>
      <c r="O95" s="9"/>
      <c r="P95" s="9"/>
      <c r="Q95" s="9"/>
      <c r="R95" s="9"/>
    </row>
    <row r="96" spans="1:20" ht="32" x14ac:dyDescent="0.35">
      <c r="A96" s="9"/>
      <c r="B96" s="883" t="s">
        <v>57</v>
      </c>
      <c r="C96" s="636" t="s">
        <v>43</v>
      </c>
      <c r="D96" s="636" t="s">
        <v>44</v>
      </c>
      <c r="E96" s="883" t="s">
        <v>45</v>
      </c>
      <c r="F96" s="883" t="s">
        <v>46</v>
      </c>
      <c r="G96" s="883" t="s">
        <v>47</v>
      </c>
      <c r="H96" s="883" t="s">
        <v>48</v>
      </c>
      <c r="I96" s="635" t="s">
        <v>49</v>
      </c>
      <c r="J96" s="883" t="s">
        <v>57</v>
      </c>
      <c r="K96" s="883" t="s">
        <v>50</v>
      </c>
      <c r="L96" s="9"/>
      <c r="M96" s="9"/>
      <c r="N96" s="9"/>
      <c r="O96" s="9"/>
      <c r="P96" s="9"/>
      <c r="Q96" s="9"/>
      <c r="R96" s="9"/>
      <c r="S96" s="9"/>
      <c r="T96" s="9"/>
    </row>
    <row r="97" spans="1:20" ht="16.5" x14ac:dyDescent="0.45">
      <c r="A97" s="9"/>
      <c r="B97" s="214" t="s">
        <v>80</v>
      </c>
      <c r="C97" s="480" t="s">
        <v>291</v>
      </c>
      <c r="D97" s="480" t="s">
        <v>292</v>
      </c>
      <c r="E97" s="387" t="s">
        <v>293</v>
      </c>
      <c r="F97" s="387" t="s">
        <v>294</v>
      </c>
      <c r="G97" s="387" t="s">
        <v>295</v>
      </c>
      <c r="H97" s="238" t="s">
        <v>296</v>
      </c>
      <c r="I97" s="241" t="s">
        <v>297</v>
      </c>
      <c r="J97" s="214" t="s">
        <v>80</v>
      </c>
      <c r="K97" s="217" t="s">
        <v>298</v>
      </c>
      <c r="L97" s="9"/>
      <c r="P97" s="9"/>
      <c r="Q97" s="9"/>
      <c r="R97" s="9"/>
      <c r="S97" s="9"/>
      <c r="T97" s="9"/>
    </row>
    <row r="98" spans="1:20" ht="16.5" x14ac:dyDescent="0.45">
      <c r="A98" s="9"/>
      <c r="B98" s="230" t="s">
        <v>51</v>
      </c>
      <c r="C98" s="481" t="s">
        <v>299</v>
      </c>
      <c r="D98" s="481" t="s">
        <v>300</v>
      </c>
      <c r="E98" s="388" t="s">
        <v>301</v>
      </c>
      <c r="F98" s="388" t="s">
        <v>301</v>
      </c>
      <c r="G98" s="388" t="s">
        <v>302</v>
      </c>
      <c r="H98" s="239" t="s">
        <v>303</v>
      </c>
      <c r="I98" s="242" t="s">
        <v>304</v>
      </c>
      <c r="J98" s="230" t="s">
        <v>51</v>
      </c>
      <c r="K98" s="211" t="s">
        <v>305</v>
      </c>
      <c r="L98" s="9"/>
      <c r="P98" s="9"/>
      <c r="Q98" s="9"/>
      <c r="R98" s="9"/>
      <c r="S98" s="9"/>
      <c r="T98" s="9"/>
    </row>
    <row r="99" spans="1:20" ht="16.5" x14ac:dyDescent="0.45">
      <c r="A99" s="9"/>
      <c r="B99" s="230" t="s">
        <v>52</v>
      </c>
      <c r="C99" s="481" t="s">
        <v>306</v>
      </c>
      <c r="D99" s="481" t="s">
        <v>307</v>
      </c>
      <c r="E99" s="388" t="s">
        <v>308</v>
      </c>
      <c r="F99" s="388" t="s">
        <v>308</v>
      </c>
      <c r="G99" s="388" t="s">
        <v>309</v>
      </c>
      <c r="H99" s="239" t="s">
        <v>310</v>
      </c>
      <c r="I99" s="242" t="s">
        <v>311</v>
      </c>
      <c r="J99" s="230" t="s">
        <v>52</v>
      </c>
      <c r="K99" s="211" t="s">
        <v>312</v>
      </c>
      <c r="L99" s="9"/>
      <c r="P99" s="9"/>
      <c r="Q99" s="9"/>
      <c r="R99" s="9"/>
      <c r="S99" s="9"/>
      <c r="T99" s="9"/>
    </row>
    <row r="100" spans="1:20" ht="16.5" x14ac:dyDescent="0.45">
      <c r="A100" s="9"/>
      <c r="B100" s="230" t="s">
        <v>53</v>
      </c>
      <c r="C100" s="481" t="s">
        <v>313</v>
      </c>
      <c r="D100" s="481" t="s">
        <v>314</v>
      </c>
      <c r="E100" s="388" t="s">
        <v>315</v>
      </c>
      <c r="F100" s="388" t="s">
        <v>315</v>
      </c>
      <c r="G100" s="388" t="s">
        <v>316</v>
      </c>
      <c r="H100" s="239" t="s">
        <v>317</v>
      </c>
      <c r="I100" s="242" t="s">
        <v>318</v>
      </c>
      <c r="J100" s="230" t="s">
        <v>53</v>
      </c>
      <c r="K100" s="211" t="s">
        <v>319</v>
      </c>
      <c r="L100" s="9"/>
      <c r="P100" s="9"/>
      <c r="Q100" s="9"/>
      <c r="R100" s="9"/>
      <c r="S100" s="9"/>
      <c r="T100" s="9"/>
    </row>
    <row r="101" spans="1:20" ht="16.5" x14ac:dyDescent="0.45">
      <c r="A101" s="9"/>
      <c r="B101" s="230" t="s">
        <v>76</v>
      </c>
      <c r="C101" s="481" t="s">
        <v>89</v>
      </c>
      <c r="D101" s="481" t="s">
        <v>89</v>
      </c>
      <c r="E101" s="386" t="s">
        <v>89</v>
      </c>
      <c r="F101" s="388" t="s">
        <v>320</v>
      </c>
      <c r="G101" s="388" t="s">
        <v>89</v>
      </c>
      <c r="H101" s="239" t="s">
        <v>321</v>
      </c>
      <c r="I101" s="242" t="s">
        <v>322</v>
      </c>
      <c r="J101" s="230" t="s">
        <v>76</v>
      </c>
      <c r="K101" s="211" t="s">
        <v>323</v>
      </c>
      <c r="L101" s="9"/>
      <c r="P101" s="9"/>
      <c r="Q101" s="9"/>
      <c r="R101" s="9"/>
      <c r="S101" s="9"/>
      <c r="T101" s="9"/>
    </row>
    <row r="102" spans="1:20" ht="17" thickBot="1" x14ac:dyDescent="0.5">
      <c r="A102" s="9"/>
      <c r="B102" s="231" t="s">
        <v>92</v>
      </c>
      <c r="C102" s="482" t="s">
        <v>324</v>
      </c>
      <c r="D102" s="482" t="s">
        <v>325</v>
      </c>
      <c r="E102" s="389" t="s">
        <v>326</v>
      </c>
      <c r="F102" s="389" t="s">
        <v>326</v>
      </c>
      <c r="G102" s="389" t="s">
        <v>326</v>
      </c>
      <c r="H102" s="240" t="s">
        <v>326</v>
      </c>
      <c r="I102" s="243" t="s">
        <v>327</v>
      </c>
      <c r="J102" s="230" t="s">
        <v>82</v>
      </c>
      <c r="K102" s="211" t="s">
        <v>328</v>
      </c>
      <c r="L102" s="9"/>
      <c r="P102" s="9"/>
      <c r="Q102" s="9"/>
      <c r="R102" s="9"/>
      <c r="S102" s="9"/>
      <c r="T102" s="9"/>
    </row>
    <row r="103" spans="1:20" ht="18" thickBot="1" x14ac:dyDescent="0.5">
      <c r="A103" s="9"/>
      <c r="B103" s="107"/>
      <c r="D103" s="483" t="s">
        <v>329</v>
      </c>
      <c r="H103" s="9"/>
      <c r="I103" s="107"/>
      <c r="J103" s="231" t="s">
        <v>92</v>
      </c>
      <c r="K103" s="229" t="s">
        <v>330</v>
      </c>
      <c r="L103" s="9"/>
      <c r="P103" s="9"/>
      <c r="Q103" s="9"/>
      <c r="R103" s="9"/>
      <c r="S103" s="9"/>
      <c r="T103" s="9"/>
    </row>
    <row r="104" spans="1:20" ht="17.5" x14ac:dyDescent="0.45">
      <c r="A104" s="9"/>
      <c r="B104" s="107"/>
      <c r="D104" s="9"/>
      <c r="E104" s="107"/>
      <c r="F104" s="107"/>
      <c r="G104" s="107"/>
      <c r="H104" s="107"/>
      <c r="I104" s="107"/>
      <c r="J104" s="9"/>
      <c r="K104" s="9"/>
      <c r="L104" s="9"/>
      <c r="M104" s="9"/>
      <c r="N104" s="9"/>
      <c r="O104" s="9"/>
      <c r="P104" s="9"/>
      <c r="Q104" s="9"/>
      <c r="R104" s="9"/>
    </row>
    <row r="105" spans="1:20" s="606" customFormat="1" ht="17.5" x14ac:dyDescent="0.45">
      <c r="B105" s="630" t="s">
        <v>250</v>
      </c>
      <c r="C105" s="631"/>
      <c r="D105" s="629"/>
      <c r="E105" s="629"/>
      <c r="F105" s="629"/>
      <c r="G105" s="629"/>
      <c r="H105" s="629"/>
      <c r="I105" s="629"/>
      <c r="K105" s="629"/>
    </row>
    <row r="106" spans="1:20" ht="5.5" customHeight="1" thickBot="1" x14ac:dyDescent="0.5">
      <c r="A106" s="9"/>
      <c r="B106" s="111"/>
      <c r="C106" s="111"/>
      <c r="D106" s="107"/>
      <c r="E106" s="107"/>
      <c r="F106" s="107"/>
      <c r="G106" s="107"/>
      <c r="H106" s="107"/>
      <c r="I106" s="107"/>
      <c r="J106" s="9"/>
      <c r="K106" s="9"/>
      <c r="L106" s="9"/>
      <c r="N106" s="9"/>
      <c r="O106" s="9"/>
      <c r="P106" s="9"/>
      <c r="Q106" s="9"/>
      <c r="R106" s="9"/>
    </row>
    <row r="107" spans="1:20" ht="32" x14ac:dyDescent="0.35">
      <c r="A107" s="9"/>
      <c r="B107" s="883" t="s">
        <v>57</v>
      </c>
      <c r="C107" s="636" t="s">
        <v>43</v>
      </c>
      <c r="D107" s="636" t="s">
        <v>44</v>
      </c>
      <c r="E107" s="883" t="s">
        <v>45</v>
      </c>
      <c r="F107" s="883" t="s">
        <v>46</v>
      </c>
      <c r="G107" s="883" t="s">
        <v>47</v>
      </c>
      <c r="H107" s="883" t="s">
        <v>48</v>
      </c>
      <c r="I107" s="635" t="s">
        <v>49</v>
      </c>
      <c r="J107" s="883" t="s">
        <v>57</v>
      </c>
      <c r="K107" s="883" t="s">
        <v>50</v>
      </c>
      <c r="L107" s="9"/>
      <c r="M107" s="9"/>
      <c r="P107" s="9"/>
      <c r="Q107" s="9"/>
      <c r="R107" s="9"/>
      <c r="S107" s="9"/>
      <c r="T107" s="9"/>
    </row>
    <row r="108" spans="1:20" ht="16.5" x14ac:dyDescent="0.45">
      <c r="A108" s="9"/>
      <c r="B108" s="214" t="s">
        <v>80</v>
      </c>
      <c r="C108" s="480" t="s">
        <v>331</v>
      </c>
      <c r="D108" s="480" t="s">
        <v>332</v>
      </c>
      <c r="E108" s="313" t="s">
        <v>333</v>
      </c>
      <c r="F108" s="313" t="s">
        <v>334</v>
      </c>
      <c r="G108" s="313" t="s">
        <v>335</v>
      </c>
      <c r="H108" s="238" t="s">
        <v>336</v>
      </c>
      <c r="I108" s="241" t="s">
        <v>307</v>
      </c>
      <c r="J108" s="214" t="s">
        <v>80</v>
      </c>
      <c r="K108" s="217" t="s">
        <v>328</v>
      </c>
      <c r="L108" s="9"/>
      <c r="P108" s="9"/>
      <c r="Q108" s="9"/>
      <c r="R108" s="9"/>
      <c r="S108" s="9"/>
      <c r="T108" s="9"/>
    </row>
    <row r="109" spans="1:20" ht="16.5" x14ac:dyDescent="0.45">
      <c r="A109" s="9"/>
      <c r="B109" s="230" t="s">
        <v>51</v>
      </c>
      <c r="C109" s="481" t="s">
        <v>337</v>
      </c>
      <c r="D109" s="481" t="s">
        <v>338</v>
      </c>
      <c r="E109" s="314" t="s">
        <v>339</v>
      </c>
      <c r="F109" s="314" t="s">
        <v>339</v>
      </c>
      <c r="G109" s="314" t="s">
        <v>340</v>
      </c>
      <c r="H109" s="239" t="s">
        <v>340</v>
      </c>
      <c r="I109" s="242" t="s">
        <v>341</v>
      </c>
      <c r="J109" s="230" t="s">
        <v>51</v>
      </c>
      <c r="K109" s="211" t="s">
        <v>342</v>
      </c>
      <c r="L109" s="9"/>
      <c r="P109" s="9"/>
      <c r="Q109" s="9"/>
      <c r="R109" s="9"/>
      <c r="S109" s="9"/>
      <c r="T109" s="9"/>
    </row>
    <row r="110" spans="1:20" ht="16.5" x14ac:dyDescent="0.45">
      <c r="A110" s="9"/>
      <c r="B110" s="230" t="s">
        <v>52</v>
      </c>
      <c r="C110" s="481" t="s">
        <v>343</v>
      </c>
      <c r="D110" s="481" t="s">
        <v>344</v>
      </c>
      <c r="E110" s="314" t="s">
        <v>345</v>
      </c>
      <c r="F110" s="314" t="s">
        <v>345</v>
      </c>
      <c r="G110" s="314" t="s">
        <v>346</v>
      </c>
      <c r="H110" s="239" t="s">
        <v>346</v>
      </c>
      <c r="I110" s="242" t="s">
        <v>347</v>
      </c>
      <c r="J110" s="230" t="s">
        <v>52</v>
      </c>
      <c r="K110" s="211" t="s">
        <v>348</v>
      </c>
      <c r="L110" s="9"/>
      <c r="P110" s="9"/>
      <c r="Q110" s="9"/>
      <c r="R110" s="9"/>
      <c r="S110" s="9"/>
      <c r="T110" s="9"/>
    </row>
    <row r="111" spans="1:20" ht="16.5" x14ac:dyDescent="0.45">
      <c r="A111" s="9"/>
      <c r="B111" s="230" t="s">
        <v>53</v>
      </c>
      <c r="C111" s="481" t="s">
        <v>349</v>
      </c>
      <c r="D111" s="481" t="s">
        <v>350</v>
      </c>
      <c r="E111" s="314" t="s">
        <v>351</v>
      </c>
      <c r="F111" s="314" t="s">
        <v>351</v>
      </c>
      <c r="G111" s="314" t="s">
        <v>352</v>
      </c>
      <c r="H111" s="239" t="s">
        <v>352</v>
      </c>
      <c r="I111" s="242" t="s">
        <v>339</v>
      </c>
      <c r="J111" s="230" t="s">
        <v>53</v>
      </c>
      <c r="K111" s="211" t="s">
        <v>353</v>
      </c>
      <c r="L111" s="9"/>
      <c r="P111" s="9"/>
      <c r="Q111" s="9"/>
      <c r="R111" s="9"/>
      <c r="S111" s="9"/>
      <c r="T111" s="9"/>
    </row>
    <row r="112" spans="1:20" ht="16.5" x14ac:dyDescent="0.45">
      <c r="A112" s="9"/>
      <c r="B112" s="230" t="s">
        <v>76</v>
      </c>
      <c r="C112" s="481" t="s">
        <v>89</v>
      </c>
      <c r="D112" s="481" t="s">
        <v>89</v>
      </c>
      <c r="E112" s="386" t="s">
        <v>89</v>
      </c>
      <c r="F112" s="314" t="s">
        <v>332</v>
      </c>
      <c r="G112" s="314" t="s">
        <v>354</v>
      </c>
      <c r="H112" s="239" t="s">
        <v>354</v>
      </c>
      <c r="I112" s="242" t="s">
        <v>355</v>
      </c>
      <c r="J112" s="230" t="s">
        <v>76</v>
      </c>
      <c r="K112" s="211" t="s">
        <v>356</v>
      </c>
      <c r="L112" s="9"/>
      <c r="P112" s="9"/>
      <c r="Q112" s="9"/>
      <c r="R112" s="9"/>
      <c r="S112" s="9"/>
      <c r="T112" s="9"/>
    </row>
    <row r="113" spans="1:24" ht="17" thickBot="1" x14ac:dyDescent="0.5">
      <c r="A113" s="9"/>
      <c r="B113" s="231" t="s">
        <v>92</v>
      </c>
      <c r="C113" s="482" t="s">
        <v>357</v>
      </c>
      <c r="D113" s="482" t="s">
        <v>358</v>
      </c>
      <c r="E113" s="315" t="s">
        <v>359</v>
      </c>
      <c r="F113" s="315" t="s">
        <v>359</v>
      </c>
      <c r="G113" s="315" t="s">
        <v>360</v>
      </c>
      <c r="H113" s="240" t="s">
        <v>360</v>
      </c>
      <c r="I113" s="243" t="s">
        <v>361</v>
      </c>
      <c r="J113" s="230" t="s">
        <v>82</v>
      </c>
      <c r="K113" s="211" t="s">
        <v>362</v>
      </c>
      <c r="L113" s="9"/>
      <c r="O113" s="9"/>
      <c r="P113" s="9"/>
      <c r="Q113" s="9"/>
      <c r="R113" s="9"/>
      <c r="S113" s="9"/>
      <c r="T113" s="9"/>
    </row>
    <row r="114" spans="1:24" ht="18" thickBot="1" x14ac:dyDescent="0.5">
      <c r="A114" s="9"/>
      <c r="B114" s="111"/>
      <c r="D114" s="111"/>
      <c r="H114" s="9"/>
      <c r="I114" s="107"/>
      <c r="J114" s="231" t="s">
        <v>92</v>
      </c>
      <c r="K114" s="229" t="s">
        <v>363</v>
      </c>
      <c r="L114" s="9"/>
      <c r="O114" s="9"/>
      <c r="P114" s="9"/>
      <c r="Q114" s="9"/>
      <c r="R114" s="9"/>
      <c r="S114" s="9"/>
      <c r="T114" s="9"/>
    </row>
    <row r="115" spans="1:24" ht="17.5" x14ac:dyDescent="0.45">
      <c r="A115" s="9"/>
      <c r="B115" s="9"/>
      <c r="C115" s="9"/>
      <c r="D115" s="107"/>
      <c r="E115" s="107"/>
      <c r="F115" s="107"/>
      <c r="G115" s="107"/>
      <c r="H115" s="107"/>
      <c r="I115" s="107"/>
      <c r="J115" s="9"/>
      <c r="K115" s="9"/>
      <c r="L115" s="9"/>
      <c r="M115" s="9"/>
      <c r="N115" s="9"/>
      <c r="O115" s="9"/>
      <c r="P115" s="9"/>
      <c r="Q115" s="9"/>
      <c r="R115" s="9"/>
    </row>
    <row r="116" spans="1:24" s="606" customFormat="1" ht="17.5" x14ac:dyDescent="0.45">
      <c r="B116" s="630" t="s">
        <v>252</v>
      </c>
      <c r="C116" s="630"/>
      <c r="D116" s="629"/>
      <c r="E116" s="629"/>
      <c r="F116" s="629"/>
      <c r="G116" s="629"/>
      <c r="H116" s="629"/>
      <c r="I116" s="629"/>
      <c r="K116" s="629"/>
    </row>
    <row r="117" spans="1:24" ht="5.5" customHeight="1" thickBot="1" x14ac:dyDescent="0.5">
      <c r="A117" s="9"/>
      <c r="B117" s="111"/>
      <c r="C117" s="111"/>
      <c r="D117" s="107"/>
      <c r="E117" s="107"/>
      <c r="F117" s="107"/>
      <c r="G117" s="107"/>
      <c r="H117" s="107"/>
      <c r="I117" s="107"/>
      <c r="J117" s="9"/>
      <c r="K117" s="9"/>
      <c r="L117" s="9"/>
      <c r="N117" s="9"/>
      <c r="O117" s="9"/>
      <c r="P117" s="9"/>
      <c r="Q117" s="9"/>
      <c r="R117" s="9"/>
    </row>
    <row r="118" spans="1:24" ht="16.5" thickBot="1" x14ac:dyDescent="0.4">
      <c r="A118" s="9"/>
      <c r="B118" s="928" t="s">
        <v>364</v>
      </c>
      <c r="C118" s="930" t="s">
        <v>43</v>
      </c>
      <c r="D118" s="931"/>
      <c r="E118" s="930" t="s">
        <v>44</v>
      </c>
      <c r="F118" s="931"/>
      <c r="G118" s="926" t="s">
        <v>45</v>
      </c>
      <c r="H118" s="927"/>
      <c r="I118" s="926" t="s">
        <v>46</v>
      </c>
      <c r="J118" s="927"/>
      <c r="K118" s="926" t="s">
        <v>47</v>
      </c>
      <c r="L118" s="927"/>
      <c r="M118" s="926" t="s">
        <v>48</v>
      </c>
      <c r="N118" s="927"/>
      <c r="O118" s="131"/>
      <c r="P118" s="131"/>
      <c r="R118" s="9"/>
      <c r="S118" s="9"/>
      <c r="T118" s="9"/>
      <c r="U118" s="9"/>
      <c r="V118" s="9"/>
      <c r="W118" s="9"/>
      <c r="X118" s="9"/>
    </row>
    <row r="119" spans="1:24" ht="16.5" thickBot="1" x14ac:dyDescent="0.4">
      <c r="A119" s="9"/>
      <c r="B119" s="937"/>
      <c r="C119" s="638" t="s">
        <v>365</v>
      </c>
      <c r="D119" s="638" t="s">
        <v>366</v>
      </c>
      <c r="E119" s="638" t="s">
        <v>365</v>
      </c>
      <c r="F119" s="638" t="s">
        <v>366</v>
      </c>
      <c r="G119" s="639" t="s">
        <v>365</v>
      </c>
      <c r="H119" s="639" t="s">
        <v>366</v>
      </c>
      <c r="I119" s="639" t="s">
        <v>365</v>
      </c>
      <c r="J119" s="639" t="s">
        <v>366</v>
      </c>
      <c r="K119" s="639" t="s">
        <v>365</v>
      </c>
      <c r="L119" s="639" t="s">
        <v>366</v>
      </c>
      <c r="M119" s="639" t="s">
        <v>365</v>
      </c>
      <c r="N119" s="639" t="s">
        <v>366</v>
      </c>
      <c r="O119" s="131"/>
      <c r="P119" s="131"/>
      <c r="R119" s="9"/>
      <c r="S119" s="9"/>
      <c r="T119" s="9"/>
      <c r="U119" s="9"/>
      <c r="V119" s="9"/>
      <c r="W119" s="9"/>
      <c r="X119" s="9"/>
    </row>
    <row r="120" spans="1:24" ht="16.5" x14ac:dyDescent="0.45">
      <c r="A120" s="9"/>
      <c r="B120" s="214" t="s">
        <v>80</v>
      </c>
      <c r="C120" s="695">
        <v>53.58</v>
      </c>
      <c r="D120" s="695">
        <v>46.42</v>
      </c>
      <c r="E120" s="480">
        <v>54.08</v>
      </c>
      <c r="F120" s="480">
        <v>45.92</v>
      </c>
      <c r="G120" s="324">
        <v>53.69</v>
      </c>
      <c r="H120" s="324">
        <v>46.31</v>
      </c>
      <c r="I120" s="324">
        <v>53.1</v>
      </c>
      <c r="J120" s="324">
        <v>46.9</v>
      </c>
      <c r="K120" s="324">
        <v>55.07</v>
      </c>
      <c r="L120" s="324">
        <v>44.93</v>
      </c>
      <c r="M120" s="251">
        <v>60.52</v>
      </c>
      <c r="N120" s="251">
        <v>39.479999999999997</v>
      </c>
      <c r="O120" s="131"/>
      <c r="P120" s="131"/>
      <c r="R120" s="9"/>
      <c r="S120" s="9"/>
      <c r="T120" s="9"/>
      <c r="U120" s="9"/>
      <c r="V120" s="9"/>
      <c r="W120" s="9"/>
      <c r="X120" s="9"/>
    </row>
    <row r="121" spans="1:24" ht="16.5" x14ac:dyDescent="0.45">
      <c r="A121" s="9"/>
      <c r="B121" s="230" t="s">
        <v>51</v>
      </c>
      <c r="C121" s="216">
        <v>116.49</v>
      </c>
      <c r="D121" s="216">
        <v>83.51</v>
      </c>
      <c r="E121" s="481">
        <v>57.85</v>
      </c>
      <c r="F121" s="481">
        <v>42.15</v>
      </c>
      <c r="G121" s="322">
        <v>58.71</v>
      </c>
      <c r="H121" s="322">
        <v>41.29</v>
      </c>
      <c r="I121" s="322">
        <v>58.71</v>
      </c>
      <c r="J121" s="322">
        <v>41.27</v>
      </c>
      <c r="K121" s="322">
        <v>58.7</v>
      </c>
      <c r="L121" s="322">
        <v>41.3</v>
      </c>
      <c r="M121" s="252">
        <v>69.38</v>
      </c>
      <c r="N121" s="252">
        <v>30.62</v>
      </c>
      <c r="O121" s="131"/>
      <c r="P121" s="131"/>
      <c r="Q121" s="9"/>
      <c r="R121" s="9"/>
      <c r="S121" s="9"/>
      <c r="T121" s="9"/>
      <c r="U121" s="9"/>
      <c r="V121" s="9"/>
      <c r="W121" s="9"/>
      <c r="X121" s="9"/>
    </row>
    <row r="122" spans="1:24" ht="16.5" x14ac:dyDescent="0.45">
      <c r="A122" s="9"/>
      <c r="B122" s="230" t="s">
        <v>52</v>
      </c>
      <c r="C122" s="216">
        <v>103.32</v>
      </c>
      <c r="D122" s="216">
        <v>96.68</v>
      </c>
      <c r="E122" s="481">
        <v>49.57</v>
      </c>
      <c r="F122" s="481">
        <v>50.43</v>
      </c>
      <c r="G122" s="322">
        <v>47.65</v>
      </c>
      <c r="H122" s="322">
        <v>52.35</v>
      </c>
      <c r="I122" s="322">
        <v>47.65</v>
      </c>
      <c r="J122" s="322">
        <v>52.35</v>
      </c>
      <c r="K122" s="322">
        <v>50.3</v>
      </c>
      <c r="L122" s="322">
        <v>47.7</v>
      </c>
      <c r="M122" s="252">
        <v>58.02</v>
      </c>
      <c r="N122" s="252">
        <v>41.98</v>
      </c>
      <c r="O122" s="131"/>
      <c r="P122" s="131"/>
      <c r="Q122" s="9"/>
      <c r="R122" s="9"/>
      <c r="S122" s="9"/>
      <c r="T122" s="9"/>
      <c r="U122" s="9"/>
      <c r="V122" s="9"/>
      <c r="W122" s="9"/>
      <c r="X122" s="9"/>
    </row>
    <row r="123" spans="1:24" ht="16.5" x14ac:dyDescent="0.45">
      <c r="A123" s="9"/>
      <c r="B123" s="230" t="s">
        <v>53</v>
      </c>
      <c r="C123" s="216">
        <v>63.45</v>
      </c>
      <c r="D123" s="216">
        <v>36.549999999999997</v>
      </c>
      <c r="E123" s="481">
        <v>62.37</v>
      </c>
      <c r="F123" s="481">
        <v>37.630000000000003</v>
      </c>
      <c r="G123" s="322">
        <v>63.81</v>
      </c>
      <c r="H123" s="322">
        <v>36.19</v>
      </c>
      <c r="I123" s="322">
        <v>63.81</v>
      </c>
      <c r="J123" s="322">
        <v>36.19</v>
      </c>
      <c r="K123" s="322">
        <v>64.78</v>
      </c>
      <c r="L123" s="322">
        <v>35.22</v>
      </c>
      <c r="M123" s="252">
        <v>59.69</v>
      </c>
      <c r="N123" s="252">
        <v>40.31</v>
      </c>
      <c r="O123" s="131"/>
      <c r="P123" s="131"/>
      <c r="S123" s="9"/>
      <c r="T123" s="9"/>
      <c r="U123" s="9"/>
      <c r="V123" s="9"/>
      <c r="W123" s="9"/>
      <c r="X123" s="9"/>
    </row>
    <row r="124" spans="1:24" ht="16.5" x14ac:dyDescent="0.45">
      <c r="A124" s="9"/>
      <c r="B124" s="230" t="s">
        <v>76</v>
      </c>
      <c r="C124" s="696" t="s">
        <v>89</v>
      </c>
      <c r="D124" s="696" t="s">
        <v>89</v>
      </c>
      <c r="E124" s="481" t="s">
        <v>89</v>
      </c>
      <c r="F124" s="481" t="s">
        <v>89</v>
      </c>
      <c r="G124" s="386" t="s">
        <v>89</v>
      </c>
      <c r="H124" s="386" t="s">
        <v>89</v>
      </c>
      <c r="I124" s="322">
        <v>46.7</v>
      </c>
      <c r="J124" s="322">
        <v>53.3</v>
      </c>
      <c r="K124" s="322">
        <v>53.25</v>
      </c>
      <c r="L124" s="322">
        <v>46.75</v>
      </c>
      <c r="M124" s="252">
        <v>56.43</v>
      </c>
      <c r="N124" s="252">
        <v>43.57</v>
      </c>
      <c r="O124" s="131"/>
      <c r="P124" s="131"/>
      <c r="S124" s="9"/>
      <c r="T124" s="9"/>
      <c r="U124" s="9"/>
      <c r="V124" s="9"/>
      <c r="W124" s="9"/>
      <c r="X124" s="9"/>
    </row>
    <row r="125" spans="1:24" ht="16.5" x14ac:dyDescent="0.45">
      <c r="A125" s="9"/>
      <c r="B125" s="231" t="s">
        <v>92</v>
      </c>
      <c r="C125" s="670">
        <v>52.07</v>
      </c>
      <c r="D125" s="670">
        <v>47.93</v>
      </c>
      <c r="E125" s="482">
        <v>52.34</v>
      </c>
      <c r="F125" s="482">
        <v>47.66</v>
      </c>
      <c r="G125" s="323">
        <v>53.69</v>
      </c>
      <c r="H125" s="323">
        <v>46.31</v>
      </c>
      <c r="I125" s="323">
        <v>54.72</v>
      </c>
      <c r="J125" s="323">
        <v>45.28</v>
      </c>
      <c r="K125" s="323">
        <v>55.07</v>
      </c>
      <c r="L125" s="323">
        <v>44.93</v>
      </c>
      <c r="M125" s="253">
        <v>53.91</v>
      </c>
      <c r="N125" s="253">
        <v>39.479999999999997</v>
      </c>
      <c r="O125" s="131"/>
      <c r="P125" s="131"/>
      <c r="S125" s="9"/>
      <c r="T125" s="9"/>
      <c r="U125" s="9"/>
      <c r="V125" s="9"/>
      <c r="W125" s="9"/>
      <c r="X125" s="9"/>
    </row>
    <row r="126" spans="1:24" ht="16.5" thickBot="1" x14ac:dyDescent="0.4">
      <c r="A126" s="9"/>
      <c r="B126" s="9"/>
      <c r="C126" s="9"/>
      <c r="D126" s="9"/>
      <c r="E126" s="9"/>
      <c r="F126" s="9"/>
      <c r="G126" s="9"/>
      <c r="M126" s="131"/>
      <c r="N126" s="131"/>
      <c r="Q126" s="9"/>
      <c r="R126" s="9"/>
      <c r="S126" s="9"/>
      <c r="T126" s="9"/>
      <c r="U126" s="9"/>
      <c r="V126" s="9"/>
    </row>
    <row r="127" spans="1:24" ht="16.5" thickBot="1" x14ac:dyDescent="0.4">
      <c r="A127" s="9"/>
      <c r="B127" s="928" t="s">
        <v>367</v>
      </c>
      <c r="C127" s="930" t="s">
        <v>43</v>
      </c>
      <c r="D127" s="931"/>
      <c r="E127" s="930" t="s">
        <v>44</v>
      </c>
      <c r="F127" s="931"/>
      <c r="G127" s="926" t="s">
        <v>45</v>
      </c>
      <c r="H127" s="927"/>
      <c r="I127" s="926" t="s">
        <v>46</v>
      </c>
      <c r="J127" s="927"/>
      <c r="K127" s="926" t="s">
        <v>47</v>
      </c>
      <c r="L127" s="927"/>
      <c r="M127" s="926" t="s">
        <v>48</v>
      </c>
      <c r="N127" s="927"/>
      <c r="O127" s="131"/>
      <c r="P127" s="131"/>
      <c r="S127" s="9"/>
      <c r="T127" s="9"/>
      <c r="U127" s="9"/>
      <c r="V127" s="9"/>
      <c r="W127" s="9"/>
      <c r="X127" s="9"/>
    </row>
    <row r="128" spans="1:24" ht="16.5" thickBot="1" x14ac:dyDescent="0.4">
      <c r="A128" s="9"/>
      <c r="B128" s="937"/>
      <c r="C128" s="638" t="s">
        <v>365</v>
      </c>
      <c r="D128" s="638" t="s">
        <v>366</v>
      </c>
      <c r="E128" s="638" t="s">
        <v>365</v>
      </c>
      <c r="F128" s="638" t="s">
        <v>366</v>
      </c>
      <c r="G128" s="639" t="s">
        <v>365</v>
      </c>
      <c r="H128" s="639" t="s">
        <v>366</v>
      </c>
      <c r="I128" s="639" t="s">
        <v>365</v>
      </c>
      <c r="J128" s="639" t="s">
        <v>366</v>
      </c>
      <c r="K128" s="639" t="s">
        <v>365</v>
      </c>
      <c r="L128" s="639" t="s">
        <v>366</v>
      </c>
      <c r="M128" s="639" t="s">
        <v>365</v>
      </c>
      <c r="N128" s="639" t="s">
        <v>366</v>
      </c>
      <c r="O128" s="131"/>
      <c r="P128" s="131"/>
      <c r="S128" s="9"/>
      <c r="T128" s="9"/>
      <c r="U128" s="9"/>
      <c r="V128" s="9"/>
      <c r="W128" s="9"/>
      <c r="X128" s="9"/>
    </row>
    <row r="129" spans="1:24" ht="16.5" x14ac:dyDescent="0.45">
      <c r="A129" s="9"/>
      <c r="B129" s="214" t="s">
        <v>80</v>
      </c>
      <c r="C129" s="695">
        <v>93.39</v>
      </c>
      <c r="D129" s="695">
        <v>6.61</v>
      </c>
      <c r="E129" s="480">
        <v>93.39</v>
      </c>
      <c r="F129" s="480">
        <v>6.61</v>
      </c>
      <c r="G129" s="324">
        <v>93.55</v>
      </c>
      <c r="H129" s="324">
        <v>6.45</v>
      </c>
      <c r="I129" s="324">
        <v>93.22</v>
      </c>
      <c r="J129" s="324">
        <v>6.78</v>
      </c>
      <c r="K129" s="324">
        <v>93.25</v>
      </c>
      <c r="L129" s="324">
        <v>6.75</v>
      </c>
      <c r="M129" s="251">
        <v>92.47</v>
      </c>
      <c r="N129" s="251">
        <v>7.53</v>
      </c>
      <c r="O129" s="131"/>
      <c r="P129" s="131"/>
      <c r="S129" s="9"/>
      <c r="T129" s="9"/>
      <c r="U129" s="9"/>
      <c r="V129" s="9"/>
      <c r="W129" s="9"/>
      <c r="X129" s="9"/>
    </row>
    <row r="130" spans="1:24" ht="16.5" x14ac:dyDescent="0.45">
      <c r="A130" s="9"/>
      <c r="B130" s="230" t="s">
        <v>51</v>
      </c>
      <c r="C130" s="216">
        <v>188.5</v>
      </c>
      <c r="D130" s="216">
        <v>11.5</v>
      </c>
      <c r="E130" s="481">
        <v>95.5</v>
      </c>
      <c r="F130" s="481">
        <v>4.5</v>
      </c>
      <c r="G130" s="322">
        <v>95.85</v>
      </c>
      <c r="H130" s="322">
        <v>4.1500000000000004</v>
      </c>
      <c r="I130" s="322">
        <v>95.85</v>
      </c>
      <c r="J130" s="322">
        <v>4.1500000000000004</v>
      </c>
      <c r="K130" s="322">
        <v>95.78</v>
      </c>
      <c r="L130" s="322">
        <v>4.22</v>
      </c>
      <c r="M130" s="252">
        <v>95.87</v>
      </c>
      <c r="N130" s="252">
        <v>4.13</v>
      </c>
      <c r="O130" s="131"/>
      <c r="P130" s="131"/>
      <c r="S130" s="9"/>
      <c r="T130" s="9"/>
      <c r="U130" s="9"/>
      <c r="V130" s="9"/>
      <c r="W130" s="9"/>
      <c r="X130" s="9"/>
    </row>
    <row r="131" spans="1:24" ht="16.5" x14ac:dyDescent="0.45">
      <c r="A131" s="9"/>
      <c r="B131" s="230" t="s">
        <v>52</v>
      </c>
      <c r="C131" s="216">
        <v>182.47</v>
      </c>
      <c r="D131" s="216">
        <v>17.53</v>
      </c>
      <c r="E131" s="481">
        <v>91.13</v>
      </c>
      <c r="F131" s="481">
        <v>8.8699999999999992</v>
      </c>
      <c r="G131" s="322">
        <v>90.99</v>
      </c>
      <c r="H131" s="322">
        <v>9.01</v>
      </c>
      <c r="I131" s="322">
        <v>90.99</v>
      </c>
      <c r="J131" s="322">
        <v>9.01</v>
      </c>
      <c r="K131" s="322">
        <v>90.09</v>
      </c>
      <c r="L131" s="322">
        <v>9.91</v>
      </c>
      <c r="M131" s="252">
        <v>89.18</v>
      </c>
      <c r="N131" s="252">
        <v>10.82</v>
      </c>
      <c r="O131" s="131"/>
      <c r="P131" s="131"/>
      <c r="S131" s="9"/>
      <c r="T131" s="9"/>
      <c r="U131" s="9"/>
      <c r="V131" s="9"/>
      <c r="W131" s="9"/>
      <c r="X131" s="9"/>
    </row>
    <row r="132" spans="1:24" ht="16.5" x14ac:dyDescent="0.45">
      <c r="A132" s="9"/>
      <c r="B132" s="230" t="s">
        <v>53</v>
      </c>
      <c r="C132" s="216">
        <v>92.66</v>
      </c>
      <c r="D132" s="216">
        <v>7.34</v>
      </c>
      <c r="E132" s="481">
        <v>93.16</v>
      </c>
      <c r="F132" s="481">
        <v>6.84</v>
      </c>
      <c r="G132" s="322">
        <v>94.58</v>
      </c>
      <c r="H132" s="322">
        <v>5.42</v>
      </c>
      <c r="I132" s="322">
        <v>94.58</v>
      </c>
      <c r="J132" s="322">
        <v>5.42</v>
      </c>
      <c r="K132" s="322">
        <v>95.27</v>
      </c>
      <c r="L132" s="322">
        <v>4.7300000000000004</v>
      </c>
      <c r="M132" s="252">
        <v>96.49</v>
      </c>
      <c r="N132" s="252">
        <v>3.51</v>
      </c>
      <c r="O132" s="131"/>
      <c r="P132" s="131"/>
      <c r="S132" s="9"/>
      <c r="T132" s="9"/>
      <c r="U132" s="9"/>
      <c r="V132" s="9"/>
      <c r="W132" s="9"/>
      <c r="X132" s="9"/>
    </row>
    <row r="133" spans="1:24" ht="16.5" x14ac:dyDescent="0.45">
      <c r="A133" s="9"/>
      <c r="B133" s="230" t="s">
        <v>76</v>
      </c>
      <c r="C133" s="696" t="s">
        <v>89</v>
      </c>
      <c r="D133" s="696" t="s">
        <v>89</v>
      </c>
      <c r="E133" s="481" t="s">
        <v>89</v>
      </c>
      <c r="F133" s="481" t="s">
        <v>89</v>
      </c>
      <c r="G133" s="386" t="s">
        <v>89</v>
      </c>
      <c r="H133" s="386" t="s">
        <v>89</v>
      </c>
      <c r="I133" s="322">
        <v>89.45</v>
      </c>
      <c r="J133" s="322">
        <v>10.55</v>
      </c>
      <c r="K133" s="322" t="s">
        <v>89</v>
      </c>
      <c r="L133" s="322" t="s">
        <v>89</v>
      </c>
      <c r="M133" s="252">
        <v>87.26</v>
      </c>
      <c r="N133" s="252">
        <v>12.74</v>
      </c>
      <c r="O133" s="131"/>
      <c r="P133" s="131"/>
      <c r="S133" s="9"/>
      <c r="T133" s="9"/>
      <c r="U133" s="9"/>
      <c r="V133" s="9"/>
      <c r="W133" s="9"/>
      <c r="X133" s="9"/>
    </row>
    <row r="134" spans="1:24" ht="16.5" x14ac:dyDescent="0.45">
      <c r="A134" s="9"/>
      <c r="B134" s="231" t="s">
        <v>92</v>
      </c>
      <c r="C134" s="670">
        <v>0</v>
      </c>
      <c r="D134" s="670">
        <v>0</v>
      </c>
      <c r="E134" s="231">
        <v>0</v>
      </c>
      <c r="F134" s="231">
        <v>0</v>
      </c>
      <c r="G134" s="323">
        <v>0</v>
      </c>
      <c r="H134" s="323">
        <v>0</v>
      </c>
      <c r="I134" s="323">
        <v>0</v>
      </c>
      <c r="J134" s="323">
        <v>0</v>
      </c>
      <c r="K134" s="323">
        <v>0</v>
      </c>
      <c r="L134" s="323">
        <v>0</v>
      </c>
      <c r="M134" s="253">
        <v>52.38</v>
      </c>
      <c r="N134" s="253">
        <v>47.62</v>
      </c>
      <c r="O134" s="131"/>
      <c r="P134" s="131"/>
      <c r="S134" s="9"/>
      <c r="T134" s="9"/>
      <c r="U134" s="9"/>
      <c r="V134" s="9"/>
      <c r="W134" s="9"/>
      <c r="X134" s="9"/>
    </row>
    <row r="135" spans="1:24" ht="17.5" x14ac:dyDescent="0.45">
      <c r="A135" s="9"/>
      <c r="B135" s="236"/>
      <c r="C135" s="250"/>
      <c r="D135" s="250"/>
      <c r="E135" s="107"/>
      <c r="F135" s="107"/>
      <c r="G135" s="107"/>
      <c r="H135" s="116"/>
      <c r="I135" s="131"/>
      <c r="J135" s="131"/>
      <c r="K135" s="9"/>
      <c r="L135" s="9"/>
      <c r="M135" s="9"/>
      <c r="N135" s="9"/>
      <c r="O135" s="9"/>
      <c r="P135" s="9"/>
      <c r="Q135" s="9"/>
      <c r="R135" s="9"/>
    </row>
    <row r="136" spans="1:24" s="606" customFormat="1" ht="17.5" x14ac:dyDescent="0.45">
      <c r="B136" s="630" t="s">
        <v>254</v>
      </c>
      <c r="C136" s="630"/>
      <c r="D136" s="629"/>
      <c r="E136" s="629"/>
      <c r="F136" s="629"/>
      <c r="G136" s="629"/>
      <c r="H136" s="629"/>
      <c r="I136" s="629"/>
      <c r="K136" s="629"/>
    </row>
    <row r="137" spans="1:24" ht="5.5" customHeight="1" thickBot="1" x14ac:dyDescent="0.5">
      <c r="A137" s="9"/>
      <c r="B137" s="111"/>
      <c r="C137" s="111"/>
      <c r="D137" s="107"/>
      <c r="E137" s="107"/>
      <c r="F137" s="107"/>
      <c r="G137" s="107"/>
      <c r="H137" s="107"/>
      <c r="I137" s="107"/>
      <c r="J137" s="9"/>
      <c r="K137" s="9"/>
      <c r="L137" s="9"/>
      <c r="N137" s="9"/>
      <c r="O137" s="9"/>
      <c r="P137" s="9"/>
      <c r="Q137" s="9"/>
      <c r="R137" s="9"/>
    </row>
    <row r="138" spans="1:24" ht="16.5" thickBot="1" x14ac:dyDescent="0.4">
      <c r="A138" s="9"/>
      <c r="B138" s="928" t="s">
        <v>368</v>
      </c>
      <c r="C138" s="930" t="s">
        <v>43</v>
      </c>
      <c r="D138" s="931"/>
      <c r="E138" s="930" t="s">
        <v>44</v>
      </c>
      <c r="F138" s="931"/>
      <c r="G138" s="924" t="s">
        <v>45</v>
      </c>
      <c r="H138" s="925"/>
      <c r="I138" s="924" t="s">
        <v>46</v>
      </c>
      <c r="J138" s="925"/>
      <c r="K138" s="924" t="s">
        <v>47</v>
      </c>
      <c r="L138" s="925"/>
      <c r="M138" s="924" t="s">
        <v>48</v>
      </c>
      <c r="N138" s="925"/>
      <c r="O138" s="924" t="s">
        <v>49</v>
      </c>
      <c r="P138" s="925"/>
      <c r="Q138" s="924" t="s">
        <v>50</v>
      </c>
      <c r="R138" s="925"/>
      <c r="U138" s="9"/>
      <c r="V138" s="9"/>
      <c r="W138" s="9"/>
      <c r="X138" s="9"/>
    </row>
    <row r="139" spans="1:24" ht="16.5" thickBot="1" x14ac:dyDescent="0.4">
      <c r="A139" s="9"/>
      <c r="B139" s="929"/>
      <c r="C139" s="640" t="s">
        <v>369</v>
      </c>
      <c r="D139" s="641" t="s">
        <v>370</v>
      </c>
      <c r="E139" s="640" t="s">
        <v>369</v>
      </c>
      <c r="F139" s="884" t="s">
        <v>370</v>
      </c>
      <c r="G139" s="639" t="s">
        <v>369</v>
      </c>
      <c r="H139" s="881" t="s">
        <v>370</v>
      </c>
      <c r="I139" s="639" t="s">
        <v>369</v>
      </c>
      <c r="J139" s="881" t="s">
        <v>370</v>
      </c>
      <c r="K139" s="881" t="s">
        <v>369</v>
      </c>
      <c r="L139" s="881" t="s">
        <v>370</v>
      </c>
      <c r="M139" s="639" t="s">
        <v>369</v>
      </c>
      <c r="N139" s="881" t="s">
        <v>370</v>
      </c>
      <c r="O139" s="639" t="s">
        <v>369</v>
      </c>
      <c r="P139" s="881" t="s">
        <v>370</v>
      </c>
      <c r="Q139" s="639" t="s">
        <v>369</v>
      </c>
      <c r="R139" s="881" t="s">
        <v>370</v>
      </c>
      <c r="U139" s="9"/>
      <c r="V139" s="9"/>
      <c r="W139" s="9"/>
      <c r="X139" s="9"/>
    </row>
    <row r="140" spans="1:24" ht="16" x14ac:dyDescent="0.35">
      <c r="A140" s="9"/>
      <c r="B140" s="214" t="s">
        <v>80</v>
      </c>
      <c r="C140" s="484">
        <v>95.8</v>
      </c>
      <c r="D140" s="485">
        <v>4.2</v>
      </c>
      <c r="E140" s="484">
        <v>96.8</v>
      </c>
      <c r="F140" s="756">
        <v>3.2</v>
      </c>
      <c r="G140" s="316">
        <v>93.6</v>
      </c>
      <c r="H140" s="325">
        <v>6.4</v>
      </c>
      <c r="I140" s="316">
        <v>93.7</v>
      </c>
      <c r="J140" s="328">
        <v>6.3</v>
      </c>
      <c r="K140" s="328">
        <v>94.7</v>
      </c>
      <c r="L140" s="328">
        <v>5.3</v>
      </c>
      <c r="M140" s="258">
        <v>95.2</v>
      </c>
      <c r="N140" s="259">
        <v>4.8</v>
      </c>
      <c r="O140" s="258">
        <v>98.4</v>
      </c>
      <c r="P140" s="259">
        <v>1.6</v>
      </c>
      <c r="Q140" s="258">
        <v>95.8</v>
      </c>
      <c r="R140" s="259">
        <v>4.2</v>
      </c>
      <c r="U140" s="9"/>
      <c r="V140" s="9"/>
      <c r="W140" s="9"/>
      <c r="X140" s="9"/>
    </row>
    <row r="141" spans="1:24" ht="16" x14ac:dyDescent="0.35">
      <c r="A141" s="9"/>
      <c r="B141" s="230" t="s">
        <v>365</v>
      </c>
      <c r="C141" s="486">
        <v>96.7</v>
      </c>
      <c r="D141" s="487">
        <v>3.3</v>
      </c>
      <c r="E141" s="486">
        <v>97.4</v>
      </c>
      <c r="F141" s="757">
        <v>2.6</v>
      </c>
      <c r="G141" s="317">
        <v>95.7</v>
      </c>
      <c r="H141" s="326">
        <v>4.3</v>
      </c>
      <c r="I141" s="317">
        <v>95.8</v>
      </c>
      <c r="J141" s="329">
        <v>4.2</v>
      </c>
      <c r="K141" s="329">
        <v>95.6</v>
      </c>
      <c r="L141" s="329">
        <v>4.4000000000000004</v>
      </c>
      <c r="M141" s="256">
        <v>96.1</v>
      </c>
      <c r="N141" s="254">
        <v>3.9</v>
      </c>
      <c r="O141" s="256">
        <v>99.6</v>
      </c>
      <c r="P141" s="254">
        <v>0.4</v>
      </c>
      <c r="Q141" s="256">
        <v>96.7</v>
      </c>
      <c r="R141" s="254">
        <v>3.3</v>
      </c>
      <c r="U141" s="9"/>
      <c r="V141" s="9"/>
      <c r="W141" s="9"/>
      <c r="X141" s="9"/>
    </row>
    <row r="142" spans="1:24" ht="16.5" thickBot="1" x14ac:dyDescent="0.4">
      <c r="A142" s="9"/>
      <c r="B142" s="231" t="s">
        <v>366</v>
      </c>
      <c r="C142" s="758">
        <v>92.9</v>
      </c>
      <c r="D142" s="759">
        <v>7.1</v>
      </c>
      <c r="E142" s="758">
        <v>94.8</v>
      </c>
      <c r="F142" s="760">
        <v>5.2</v>
      </c>
      <c r="G142" s="318">
        <v>86.4</v>
      </c>
      <c r="H142" s="327">
        <v>13.6</v>
      </c>
      <c r="I142" s="318">
        <v>87.1</v>
      </c>
      <c r="J142" s="330">
        <v>12.9</v>
      </c>
      <c r="K142" s="330">
        <v>91.5</v>
      </c>
      <c r="L142" s="330">
        <v>8.5</v>
      </c>
      <c r="M142" s="257">
        <v>92.3</v>
      </c>
      <c r="N142" s="255">
        <v>7.7</v>
      </c>
      <c r="O142" s="257">
        <v>93.8</v>
      </c>
      <c r="P142" s="255">
        <v>6.2</v>
      </c>
      <c r="Q142" s="257">
        <v>92.2</v>
      </c>
      <c r="R142" s="255">
        <v>7.8</v>
      </c>
      <c r="U142" s="9"/>
      <c r="V142" s="9"/>
      <c r="W142" s="9"/>
      <c r="X142" s="9"/>
    </row>
    <row r="143" spans="1:24" ht="17.5" x14ac:dyDescent="0.45">
      <c r="A143" s="9"/>
      <c r="B143" s="114"/>
      <c r="C143" s="114"/>
      <c r="D143" s="107"/>
      <c r="E143" s="107"/>
      <c r="F143" s="107"/>
      <c r="G143" s="107"/>
      <c r="H143" s="107"/>
      <c r="I143" s="107"/>
      <c r="J143" s="9"/>
      <c r="K143" s="9"/>
      <c r="L143" s="9"/>
      <c r="M143" s="9"/>
      <c r="N143" s="9"/>
      <c r="O143" s="9"/>
      <c r="P143" s="9"/>
      <c r="Q143" s="9"/>
      <c r="R143" s="9"/>
    </row>
    <row r="144" spans="1:24" s="606" customFormat="1" ht="17.5" x14ac:dyDescent="0.45">
      <c r="B144" s="630" t="s">
        <v>256</v>
      </c>
      <c r="C144" s="630"/>
      <c r="D144" s="629"/>
      <c r="E144" s="629"/>
      <c r="F144" s="629"/>
      <c r="G144" s="629"/>
      <c r="H144" s="629"/>
      <c r="I144" s="629"/>
      <c r="K144" s="629"/>
    </row>
    <row r="145" spans="1:24" ht="5.5" customHeight="1" thickBot="1" x14ac:dyDescent="0.5">
      <c r="A145" s="9"/>
      <c r="B145" s="111"/>
      <c r="C145" s="111"/>
      <c r="D145" s="107"/>
      <c r="E145" s="107"/>
      <c r="F145" s="107"/>
      <c r="G145" s="107"/>
      <c r="H145" s="107"/>
      <c r="I145" s="107"/>
      <c r="J145" s="9"/>
      <c r="K145" s="9"/>
      <c r="L145" s="9"/>
      <c r="N145" s="9"/>
      <c r="O145" s="9"/>
      <c r="P145" s="9"/>
      <c r="Q145" s="9"/>
      <c r="R145" s="9"/>
    </row>
    <row r="146" spans="1:24" ht="16.5" thickBot="1" x14ac:dyDescent="0.4">
      <c r="A146" s="9"/>
      <c r="B146" s="928" t="s">
        <v>368</v>
      </c>
      <c r="C146" s="935" t="s">
        <v>43</v>
      </c>
      <c r="D146" s="936"/>
      <c r="E146" s="935" t="s">
        <v>44</v>
      </c>
      <c r="F146" s="936"/>
      <c r="G146" s="948" t="s">
        <v>45</v>
      </c>
      <c r="H146" s="927"/>
      <c r="I146" s="926" t="s">
        <v>46</v>
      </c>
      <c r="J146" s="927"/>
      <c r="K146" s="926" t="s">
        <v>47</v>
      </c>
      <c r="L146" s="927"/>
      <c r="M146" s="926" t="s">
        <v>48</v>
      </c>
      <c r="N146" s="927"/>
      <c r="O146" s="924" t="s">
        <v>49</v>
      </c>
      <c r="P146" s="925"/>
      <c r="Q146" s="924" t="s">
        <v>50</v>
      </c>
      <c r="R146" s="925"/>
      <c r="U146" s="9"/>
      <c r="V146" s="9"/>
      <c r="W146" s="9"/>
      <c r="X146" s="9"/>
    </row>
    <row r="147" spans="1:24" ht="16.5" thickBot="1" x14ac:dyDescent="0.4">
      <c r="A147" s="9"/>
      <c r="B147" s="934"/>
      <c r="C147" s="642" t="s">
        <v>371</v>
      </c>
      <c r="D147" s="643" t="s">
        <v>372</v>
      </c>
      <c r="E147" s="642" t="s">
        <v>371</v>
      </c>
      <c r="F147" s="643" t="s">
        <v>372</v>
      </c>
      <c r="G147" s="881" t="s">
        <v>369</v>
      </c>
      <c r="H147" s="881" t="s">
        <v>370</v>
      </c>
      <c r="I147" s="639" t="s">
        <v>369</v>
      </c>
      <c r="J147" s="881" t="s">
        <v>370</v>
      </c>
      <c r="K147" s="882" t="s">
        <v>371</v>
      </c>
      <c r="L147" s="882" t="s">
        <v>372</v>
      </c>
      <c r="M147" s="644" t="s">
        <v>371</v>
      </c>
      <c r="N147" s="644" t="s">
        <v>372</v>
      </c>
      <c r="O147" s="644" t="s">
        <v>371</v>
      </c>
      <c r="P147" s="644" t="s">
        <v>372</v>
      </c>
      <c r="Q147" s="644" t="s">
        <v>371</v>
      </c>
      <c r="R147" s="644" t="s">
        <v>372</v>
      </c>
      <c r="U147" s="9"/>
      <c r="V147" s="9"/>
      <c r="W147" s="9"/>
      <c r="X147" s="9"/>
    </row>
    <row r="148" spans="1:24" ht="16" x14ac:dyDescent="0.35">
      <c r="A148" s="9"/>
      <c r="B148" s="260" t="s">
        <v>80</v>
      </c>
      <c r="C148" s="484">
        <v>98.4</v>
      </c>
      <c r="D148" s="485">
        <v>1.6</v>
      </c>
      <c r="E148" s="488">
        <v>98.4</v>
      </c>
      <c r="F148" s="761">
        <v>1.6</v>
      </c>
      <c r="G148" s="325">
        <v>98.4</v>
      </c>
      <c r="H148" s="319">
        <v>1.6</v>
      </c>
      <c r="I148" s="316">
        <v>98.2</v>
      </c>
      <c r="J148" s="319">
        <v>1.8</v>
      </c>
      <c r="K148" s="319">
        <v>98.2</v>
      </c>
      <c r="L148" s="319">
        <v>1.8</v>
      </c>
      <c r="M148" s="258">
        <v>98</v>
      </c>
      <c r="N148" s="258">
        <v>2</v>
      </c>
      <c r="O148" s="258">
        <v>96.3</v>
      </c>
      <c r="P148" s="258">
        <v>3.7</v>
      </c>
      <c r="Q148" s="258">
        <v>98.3</v>
      </c>
      <c r="R148" s="258">
        <v>1.7</v>
      </c>
      <c r="U148" s="9"/>
      <c r="V148" s="9"/>
      <c r="W148" s="9"/>
      <c r="X148" s="9"/>
    </row>
    <row r="149" spans="1:24" ht="16" x14ac:dyDescent="0.35">
      <c r="A149" s="9"/>
      <c r="B149" s="235" t="s">
        <v>365</v>
      </c>
      <c r="C149" s="486">
        <v>99.4</v>
      </c>
      <c r="D149" s="487">
        <v>0.6</v>
      </c>
      <c r="E149" s="489">
        <v>99.5</v>
      </c>
      <c r="F149" s="762">
        <v>0.5</v>
      </c>
      <c r="G149" s="326">
        <v>99.5</v>
      </c>
      <c r="H149" s="320">
        <v>0.5</v>
      </c>
      <c r="I149" s="317">
        <v>99.5</v>
      </c>
      <c r="J149" s="320">
        <v>0.5</v>
      </c>
      <c r="K149" s="320">
        <v>99.4</v>
      </c>
      <c r="L149" s="320">
        <v>0.6</v>
      </c>
      <c r="M149" s="256">
        <v>99.4</v>
      </c>
      <c r="N149" s="256">
        <v>0.6</v>
      </c>
      <c r="O149" s="256">
        <v>97.2</v>
      </c>
      <c r="P149" s="256">
        <v>2.8</v>
      </c>
      <c r="Q149" s="256">
        <v>99.5</v>
      </c>
      <c r="R149" s="256">
        <v>0.5</v>
      </c>
      <c r="U149" s="9"/>
      <c r="V149" s="9"/>
      <c r="W149" s="9"/>
      <c r="X149" s="9"/>
    </row>
    <row r="150" spans="1:24" ht="16.5" thickBot="1" x14ac:dyDescent="0.4">
      <c r="A150" s="9"/>
      <c r="B150" s="237" t="s">
        <v>366</v>
      </c>
      <c r="C150" s="758">
        <v>95</v>
      </c>
      <c r="D150" s="759">
        <v>5</v>
      </c>
      <c r="E150" s="763">
        <v>94.6</v>
      </c>
      <c r="F150" s="764">
        <v>5.4</v>
      </c>
      <c r="G150" s="327">
        <v>94.7</v>
      </c>
      <c r="H150" s="321">
        <v>5.3</v>
      </c>
      <c r="I150" s="318">
        <v>93.9</v>
      </c>
      <c r="J150" s="321">
        <v>6.1</v>
      </c>
      <c r="K150" s="321">
        <v>94.2</v>
      </c>
      <c r="L150" s="321">
        <v>5.8</v>
      </c>
      <c r="M150" s="257">
        <v>93.4</v>
      </c>
      <c r="N150" s="257">
        <v>6.6</v>
      </c>
      <c r="O150" s="257">
        <v>92.9</v>
      </c>
      <c r="P150" s="257">
        <v>7.1</v>
      </c>
      <c r="Q150" s="257">
        <v>93.6</v>
      </c>
      <c r="R150" s="257">
        <v>6.4</v>
      </c>
      <c r="U150" s="9"/>
      <c r="V150" s="9"/>
      <c r="W150" s="9"/>
      <c r="X150" s="9"/>
    </row>
    <row r="151" spans="1:24" ht="17.5" x14ac:dyDescent="0.45">
      <c r="A151" s="9"/>
      <c r="B151" s="114"/>
      <c r="C151" s="114"/>
      <c r="D151" s="107"/>
      <c r="E151" s="107"/>
      <c r="F151" s="107"/>
      <c r="G151" s="107"/>
      <c r="H151" s="107"/>
      <c r="I151" s="107"/>
      <c r="J151" s="9"/>
      <c r="K151" s="9"/>
      <c r="L151" s="9"/>
      <c r="M151" s="9"/>
      <c r="O151" s="9"/>
      <c r="P151" s="9"/>
      <c r="Q151" s="9"/>
      <c r="R151" s="9"/>
    </row>
    <row r="152" spans="1:24" s="606" customFormat="1" ht="17.5" x14ac:dyDescent="0.45">
      <c r="B152" s="630" t="s">
        <v>258</v>
      </c>
      <c r="C152" s="630"/>
      <c r="D152" s="629"/>
      <c r="E152" s="629"/>
      <c r="F152" s="629"/>
      <c r="G152" s="629"/>
      <c r="H152" s="629"/>
      <c r="I152" s="629"/>
      <c r="K152" s="629"/>
    </row>
    <row r="153" spans="1:24" ht="5.5" customHeight="1" thickBot="1" x14ac:dyDescent="0.5">
      <c r="A153" s="9"/>
      <c r="B153" s="111"/>
      <c r="C153" s="111"/>
      <c r="D153" s="107"/>
      <c r="E153" s="107"/>
      <c r="F153" s="107"/>
      <c r="G153" s="107"/>
      <c r="H153" s="107"/>
      <c r="I153" s="107"/>
      <c r="J153" s="9"/>
      <c r="K153" s="9"/>
      <c r="L153" s="9"/>
      <c r="N153" s="9"/>
      <c r="O153" s="9"/>
      <c r="P153" s="9"/>
      <c r="Q153" s="9"/>
      <c r="R153" s="9"/>
    </row>
    <row r="154" spans="1:24" ht="16.5" thickBot="1" x14ac:dyDescent="0.4">
      <c r="A154" s="9"/>
      <c r="B154" s="634" t="s">
        <v>56</v>
      </c>
      <c r="C154" s="634" t="s">
        <v>57</v>
      </c>
      <c r="D154" s="645" t="s">
        <v>373</v>
      </c>
      <c r="E154" s="645" t="s">
        <v>374</v>
      </c>
      <c r="F154" s="645" t="s">
        <v>375</v>
      </c>
      <c r="G154" s="645" t="s">
        <v>376</v>
      </c>
      <c r="H154" s="645" t="s">
        <v>377</v>
      </c>
      <c r="I154" s="645" t="s">
        <v>378</v>
      </c>
      <c r="J154" s="9"/>
      <c r="K154" s="9"/>
      <c r="L154" s="9"/>
      <c r="M154" s="9"/>
      <c r="O154" s="9"/>
      <c r="P154" s="9"/>
      <c r="Q154" s="9"/>
      <c r="R154" s="9"/>
    </row>
    <row r="155" spans="1:24" ht="16" x14ac:dyDescent="0.35">
      <c r="A155" s="9"/>
      <c r="B155" s="490" t="s">
        <v>43</v>
      </c>
      <c r="C155" s="490" t="s">
        <v>80</v>
      </c>
      <c r="D155" s="495">
        <v>0.1663</v>
      </c>
      <c r="E155" s="495">
        <v>0.16189999999999999</v>
      </c>
      <c r="F155" s="495">
        <v>0.3226</v>
      </c>
      <c r="G155" s="495">
        <v>0.2354</v>
      </c>
      <c r="H155" s="495">
        <v>0.1042</v>
      </c>
      <c r="I155" s="495">
        <v>9.7000000000000003E-3</v>
      </c>
      <c r="J155" s="9"/>
      <c r="K155" s="9"/>
      <c r="L155" s="9"/>
      <c r="M155" s="9"/>
      <c r="O155" s="9"/>
      <c r="P155" s="9"/>
      <c r="Q155" s="9"/>
      <c r="R155" s="9"/>
    </row>
    <row r="156" spans="1:24" ht="16" x14ac:dyDescent="0.35">
      <c r="A156" s="9"/>
      <c r="B156" s="491"/>
      <c r="C156" s="492" t="s">
        <v>379</v>
      </c>
      <c r="D156" s="496">
        <v>0.40739999999999998</v>
      </c>
      <c r="E156" s="496">
        <v>0.38100000000000001</v>
      </c>
      <c r="F156" s="496">
        <v>0.7107</v>
      </c>
      <c r="G156" s="496">
        <v>0.35189999999999999</v>
      </c>
      <c r="H156" s="496">
        <v>0.12959999999999999</v>
      </c>
      <c r="I156" s="496">
        <v>1.9400000000000001E-2</v>
      </c>
      <c r="J156" s="9"/>
      <c r="K156" s="9"/>
      <c r="L156" s="9"/>
      <c r="M156" s="9"/>
      <c r="O156" s="9"/>
      <c r="P156" s="9"/>
      <c r="Q156" s="9"/>
      <c r="R156" s="9"/>
    </row>
    <row r="157" spans="1:24" ht="16" x14ac:dyDescent="0.35">
      <c r="A157" s="9"/>
      <c r="B157" s="491"/>
      <c r="C157" s="492" t="s">
        <v>52</v>
      </c>
      <c r="D157" s="496">
        <v>0.2676</v>
      </c>
      <c r="E157" s="496">
        <v>0.36890000000000001</v>
      </c>
      <c r="F157" s="496">
        <v>0.68889999999999996</v>
      </c>
      <c r="G157" s="496">
        <v>0.4798</v>
      </c>
      <c r="H157" s="496">
        <v>0.1885</v>
      </c>
      <c r="I157" s="496">
        <v>6.3E-3</v>
      </c>
      <c r="J157" s="9"/>
      <c r="K157" s="9"/>
      <c r="L157" s="9"/>
      <c r="M157" s="9"/>
      <c r="O157" s="9"/>
      <c r="P157" s="9"/>
      <c r="Q157" s="9"/>
      <c r="R157" s="9"/>
    </row>
    <row r="158" spans="1:24" ht="16" x14ac:dyDescent="0.35">
      <c r="A158" s="9"/>
      <c r="B158" s="491"/>
      <c r="C158" s="492" t="s">
        <v>53</v>
      </c>
      <c r="D158" s="496">
        <v>0.14360000000000001</v>
      </c>
      <c r="E158" s="496">
        <v>0.125</v>
      </c>
      <c r="F158" s="496">
        <v>0.30449999999999999</v>
      </c>
      <c r="G158" s="496">
        <v>0.26860000000000001</v>
      </c>
      <c r="H158" s="496">
        <v>0.1416</v>
      </c>
      <c r="I158" s="496">
        <v>1.66E-2</v>
      </c>
      <c r="J158" s="9"/>
      <c r="K158" s="9"/>
      <c r="L158" s="9"/>
      <c r="M158" s="9"/>
      <c r="O158" s="9"/>
      <c r="P158" s="9"/>
      <c r="Q158" s="9"/>
      <c r="R158" s="9"/>
    </row>
    <row r="159" spans="1:24" ht="16" x14ac:dyDescent="0.35">
      <c r="A159" s="9"/>
      <c r="B159" s="493"/>
      <c r="C159" s="494" t="s">
        <v>92</v>
      </c>
      <c r="D159" s="497">
        <v>0.1381</v>
      </c>
      <c r="E159" s="497">
        <v>0.14860000000000001</v>
      </c>
      <c r="F159" s="497">
        <v>0.31119999999999998</v>
      </c>
      <c r="G159" s="497">
        <v>0.2727</v>
      </c>
      <c r="H159" s="497">
        <v>0.1119</v>
      </c>
      <c r="I159" s="497">
        <v>1.7500000000000002E-2</v>
      </c>
      <c r="J159" s="9"/>
      <c r="K159" s="9"/>
      <c r="L159" s="9"/>
      <c r="M159" s="9"/>
      <c r="O159" s="9"/>
      <c r="P159" s="9"/>
      <c r="Q159" s="9"/>
      <c r="R159" s="9"/>
    </row>
    <row r="160" spans="1:24" ht="16" x14ac:dyDescent="0.35">
      <c r="A160" s="9"/>
      <c r="B160" s="490" t="s">
        <v>44</v>
      </c>
      <c r="C160" s="490" t="s">
        <v>80</v>
      </c>
      <c r="D160" s="495">
        <v>0.186</v>
      </c>
      <c r="E160" s="495">
        <v>0.16900000000000001</v>
      </c>
      <c r="F160" s="495">
        <v>0.318</v>
      </c>
      <c r="G160" s="495">
        <v>0.222</v>
      </c>
      <c r="H160" s="495">
        <v>9.6000000000000002E-2</v>
      </c>
      <c r="I160" s="495">
        <v>8.9999999999999993E-3</v>
      </c>
      <c r="J160" s="9"/>
      <c r="K160" s="9"/>
      <c r="L160" s="9"/>
      <c r="M160" s="9"/>
      <c r="O160" s="9"/>
      <c r="P160" s="9"/>
      <c r="Q160" s="9"/>
      <c r="R160" s="9"/>
    </row>
    <row r="161" spans="1:18" ht="16" x14ac:dyDescent="0.35">
      <c r="A161" s="9"/>
      <c r="B161" s="491"/>
      <c r="C161" s="492" t="s">
        <v>379</v>
      </c>
      <c r="D161" s="496">
        <v>0.224</v>
      </c>
      <c r="E161" s="496">
        <v>0.16600000000000001</v>
      </c>
      <c r="F161" s="496">
        <v>0.307</v>
      </c>
      <c r="G161" s="496">
        <v>0.2</v>
      </c>
      <c r="H161" s="496">
        <v>9.1999999999999998E-2</v>
      </c>
      <c r="I161" s="496">
        <v>0.01</v>
      </c>
      <c r="J161" s="9"/>
      <c r="K161" s="9"/>
      <c r="L161" s="9"/>
      <c r="M161" s="9"/>
      <c r="O161" s="9"/>
      <c r="P161" s="9"/>
      <c r="Q161" s="9"/>
      <c r="R161" s="9"/>
    </row>
    <row r="162" spans="1:18" ht="16" x14ac:dyDescent="0.35">
      <c r="A162" s="9"/>
      <c r="B162" s="491"/>
      <c r="C162" s="492" t="s">
        <v>52</v>
      </c>
      <c r="D162" s="496">
        <v>0.17299999999999999</v>
      </c>
      <c r="E162" s="496">
        <v>0.183</v>
      </c>
      <c r="F162" s="496">
        <v>0.32600000000000001</v>
      </c>
      <c r="G162" s="496">
        <v>0.22700000000000001</v>
      </c>
      <c r="H162" s="496">
        <v>8.6999999999999994E-2</v>
      </c>
      <c r="I162" s="496">
        <v>3.0000000000000001E-3</v>
      </c>
      <c r="J162" s="9"/>
      <c r="K162" s="9"/>
      <c r="L162" s="9"/>
      <c r="M162" s="9"/>
      <c r="O162" s="9"/>
      <c r="P162" s="9"/>
      <c r="Q162" s="9"/>
      <c r="R162" s="9"/>
    </row>
    <row r="163" spans="1:18" ht="16" x14ac:dyDescent="0.35">
      <c r="A163" s="9"/>
      <c r="B163" s="491"/>
      <c r="C163" s="492" t="s">
        <v>53</v>
      </c>
      <c r="D163" s="496">
        <v>0.1356</v>
      </c>
      <c r="E163" s="496">
        <v>0.14000000000000001</v>
      </c>
      <c r="F163" s="496">
        <v>0.3221</v>
      </c>
      <c r="G163" s="496">
        <v>0.25459999999999999</v>
      </c>
      <c r="H163" s="496">
        <v>0.1273</v>
      </c>
      <c r="I163" s="496">
        <v>2.0400000000000001E-2</v>
      </c>
      <c r="J163" s="9"/>
      <c r="K163" s="9"/>
      <c r="L163" s="9"/>
      <c r="M163" s="9"/>
      <c r="O163" s="9"/>
      <c r="P163" s="9"/>
      <c r="Q163" s="9"/>
      <c r="R163" s="9"/>
    </row>
    <row r="164" spans="1:18" ht="16.5" thickBot="1" x14ac:dyDescent="0.4">
      <c r="A164" s="9"/>
      <c r="B164" s="493"/>
      <c r="C164" s="494" t="s">
        <v>92</v>
      </c>
      <c r="D164" s="497">
        <v>0.13850000000000001</v>
      </c>
      <c r="E164" s="497">
        <v>0.14030000000000001</v>
      </c>
      <c r="F164" s="497">
        <v>0.32550000000000001</v>
      </c>
      <c r="G164" s="497">
        <v>0.25719999999999998</v>
      </c>
      <c r="H164" s="497">
        <v>0.12230000000000001</v>
      </c>
      <c r="I164" s="497">
        <v>1.6199999999999999E-2</v>
      </c>
      <c r="J164" s="9"/>
      <c r="K164" s="9"/>
      <c r="L164" s="9"/>
      <c r="M164" s="9"/>
      <c r="O164" s="9"/>
      <c r="P164" s="9"/>
      <c r="Q164" s="9"/>
      <c r="R164" s="9"/>
    </row>
    <row r="165" spans="1:18" ht="16" x14ac:dyDescent="0.35">
      <c r="A165" s="9"/>
      <c r="B165" s="220" t="s">
        <v>61</v>
      </c>
      <c r="C165" s="220" t="s">
        <v>80</v>
      </c>
      <c r="D165" s="331">
        <v>0.20699999999999999</v>
      </c>
      <c r="E165" s="331">
        <v>0.16800000000000001</v>
      </c>
      <c r="F165" s="331">
        <v>0.311</v>
      </c>
      <c r="G165" s="331">
        <v>0.216</v>
      </c>
      <c r="H165" s="331">
        <v>9.0999999999999998E-2</v>
      </c>
      <c r="I165" s="331">
        <v>8.0000000000000002E-3</v>
      </c>
      <c r="J165" s="9"/>
      <c r="K165" s="9"/>
      <c r="L165" s="9"/>
      <c r="M165" s="9"/>
      <c r="O165" s="9"/>
      <c r="P165" s="9"/>
      <c r="Q165" s="9"/>
      <c r="R165" s="9"/>
    </row>
    <row r="166" spans="1:18" ht="16" x14ac:dyDescent="0.35">
      <c r="A166" s="9"/>
      <c r="B166" s="214" t="s">
        <v>62</v>
      </c>
      <c r="C166" s="230" t="s">
        <v>379</v>
      </c>
      <c r="D166" s="332">
        <v>0.23200000000000001</v>
      </c>
      <c r="E166" s="332">
        <v>0.161</v>
      </c>
      <c r="F166" s="332">
        <v>0.30099999999999999</v>
      </c>
      <c r="G166" s="332">
        <v>0.20599999999999999</v>
      </c>
      <c r="H166" s="332">
        <v>9.0999999999999998E-2</v>
      </c>
      <c r="I166" s="332">
        <v>8.9999999999999993E-3</v>
      </c>
      <c r="J166" s="9"/>
      <c r="K166" s="9"/>
      <c r="L166" s="9"/>
      <c r="M166" s="9"/>
      <c r="O166" s="9"/>
      <c r="P166" s="9"/>
      <c r="Q166" s="9"/>
      <c r="R166" s="9"/>
    </row>
    <row r="167" spans="1:18" ht="16" x14ac:dyDescent="0.35">
      <c r="A167" s="9"/>
      <c r="B167" s="214"/>
      <c r="C167" s="230" t="s">
        <v>52</v>
      </c>
      <c r="D167" s="332">
        <v>0.21099999999999999</v>
      </c>
      <c r="E167" s="332">
        <v>0.18099999999999999</v>
      </c>
      <c r="F167" s="332">
        <v>0.314</v>
      </c>
      <c r="G167" s="332">
        <v>0.21</v>
      </c>
      <c r="H167" s="332">
        <v>0.08</v>
      </c>
      <c r="I167" s="332">
        <v>3.0000000000000001E-3</v>
      </c>
      <c r="J167" s="9"/>
      <c r="K167" s="9"/>
      <c r="L167" s="9"/>
      <c r="M167" s="9"/>
      <c r="O167" s="9"/>
      <c r="P167" s="9"/>
      <c r="Q167" s="9"/>
      <c r="R167" s="9"/>
    </row>
    <row r="168" spans="1:18" ht="16" x14ac:dyDescent="0.35">
      <c r="A168" s="9"/>
      <c r="B168" s="214"/>
      <c r="C168" s="230" t="s">
        <v>53</v>
      </c>
      <c r="D168" s="332">
        <v>0.14799999999999999</v>
      </c>
      <c r="E168" s="332">
        <v>0.152</v>
      </c>
      <c r="F168" s="332">
        <v>0.312</v>
      </c>
      <c r="G168" s="332">
        <v>0.246</v>
      </c>
      <c r="H168" s="332">
        <v>0.122</v>
      </c>
      <c r="I168" s="332">
        <v>0.02</v>
      </c>
      <c r="J168" s="9"/>
      <c r="K168" s="9"/>
      <c r="L168" s="9"/>
      <c r="M168" s="9"/>
      <c r="O168" s="9"/>
      <c r="P168" s="9"/>
      <c r="Q168" s="9"/>
      <c r="R168" s="9"/>
    </row>
    <row r="169" spans="1:18" ht="16.5" x14ac:dyDescent="0.45">
      <c r="A169" s="9"/>
      <c r="B169" s="214"/>
      <c r="C169" s="230" t="s">
        <v>76</v>
      </c>
      <c r="D169" s="386" t="s">
        <v>89</v>
      </c>
      <c r="E169" s="386" t="s">
        <v>89</v>
      </c>
      <c r="F169" s="386" t="s">
        <v>89</v>
      </c>
      <c r="G169" s="386" t="s">
        <v>89</v>
      </c>
      <c r="H169" s="386" t="s">
        <v>89</v>
      </c>
      <c r="I169" s="386" t="s">
        <v>89</v>
      </c>
      <c r="J169" s="9"/>
      <c r="K169" s="9"/>
      <c r="L169" s="9"/>
      <c r="M169" s="9"/>
      <c r="O169" s="9"/>
      <c r="P169" s="9"/>
      <c r="Q169" s="9"/>
      <c r="R169" s="9"/>
    </row>
    <row r="170" spans="1:18" ht="16.5" thickBot="1" x14ac:dyDescent="0.4">
      <c r="A170" s="9"/>
      <c r="B170" s="223"/>
      <c r="C170" s="231" t="s">
        <v>92</v>
      </c>
      <c r="D170" s="333">
        <v>0.158</v>
      </c>
      <c r="E170" s="333">
        <v>0.13300000000000001</v>
      </c>
      <c r="F170" s="333">
        <v>0.34399999999999997</v>
      </c>
      <c r="G170" s="333">
        <v>0.246</v>
      </c>
      <c r="H170" s="333">
        <v>0.111</v>
      </c>
      <c r="I170" s="333">
        <v>8.9999999999999993E-3</v>
      </c>
      <c r="J170" s="9"/>
      <c r="K170" s="9"/>
      <c r="L170" s="9"/>
      <c r="M170" s="9"/>
      <c r="O170" s="9"/>
      <c r="P170" s="9"/>
      <c r="Q170" s="9"/>
      <c r="R170" s="9"/>
    </row>
    <row r="171" spans="1:18" ht="16" x14ac:dyDescent="0.35">
      <c r="A171" s="9"/>
      <c r="B171" s="220" t="s">
        <v>61</v>
      </c>
      <c r="C171" s="220" t="s">
        <v>80</v>
      </c>
      <c r="D171" s="331">
        <v>0.20899999999999999</v>
      </c>
      <c r="E171" s="331">
        <v>0.16700000000000001</v>
      </c>
      <c r="F171" s="331">
        <v>0.309</v>
      </c>
      <c r="G171" s="331">
        <v>0.215</v>
      </c>
      <c r="H171" s="331">
        <v>9.1999999999999998E-2</v>
      </c>
      <c r="I171" s="331">
        <v>8.0000000000000002E-3</v>
      </c>
      <c r="J171" s="9"/>
      <c r="K171" s="9"/>
      <c r="L171" s="9"/>
      <c r="M171" s="9"/>
      <c r="O171" s="9"/>
      <c r="P171" s="9"/>
      <c r="Q171" s="9"/>
      <c r="R171" s="9"/>
    </row>
    <row r="172" spans="1:18" ht="16" x14ac:dyDescent="0.35">
      <c r="A172" s="9"/>
      <c r="B172" s="214" t="s">
        <v>63</v>
      </c>
      <c r="C172" s="230" t="s">
        <v>379</v>
      </c>
      <c r="D172" s="332">
        <v>0.23200000000000001</v>
      </c>
      <c r="E172" s="332">
        <v>0.161</v>
      </c>
      <c r="F172" s="332">
        <v>0.30099999999999999</v>
      </c>
      <c r="G172" s="332">
        <v>0.20599999999999999</v>
      </c>
      <c r="H172" s="332">
        <v>9.0999999999999998E-2</v>
      </c>
      <c r="I172" s="332">
        <v>8.9999999999999993E-3</v>
      </c>
      <c r="J172" s="9"/>
      <c r="K172" s="9"/>
      <c r="L172" s="9"/>
      <c r="M172" s="9"/>
      <c r="O172" s="9"/>
      <c r="P172" s="9"/>
      <c r="Q172" s="9"/>
      <c r="R172" s="9"/>
    </row>
    <row r="173" spans="1:18" ht="16" x14ac:dyDescent="0.35">
      <c r="A173" s="9"/>
      <c r="B173" s="214"/>
      <c r="C173" s="230" t="s">
        <v>52</v>
      </c>
      <c r="D173" s="332">
        <v>0.21099999999999999</v>
      </c>
      <c r="E173" s="332">
        <v>0.18099999999999999</v>
      </c>
      <c r="F173" s="332">
        <v>0.314</v>
      </c>
      <c r="G173" s="332">
        <v>0.21</v>
      </c>
      <c r="H173" s="332">
        <v>0.08</v>
      </c>
      <c r="I173" s="332">
        <v>3.0000000000000001E-3</v>
      </c>
      <c r="J173" s="9"/>
      <c r="K173" s="9"/>
      <c r="L173" s="9"/>
      <c r="M173" s="9"/>
      <c r="O173" s="9"/>
      <c r="P173" s="9"/>
      <c r="Q173" s="9"/>
      <c r="R173" s="9"/>
    </row>
    <row r="174" spans="1:18" ht="16" x14ac:dyDescent="0.35">
      <c r="A174" s="9"/>
      <c r="B174" s="214"/>
      <c r="C174" s="230" t="s">
        <v>53</v>
      </c>
      <c r="D174" s="332">
        <v>0.14799999999999999</v>
      </c>
      <c r="E174" s="332">
        <v>0.152</v>
      </c>
      <c r="F174" s="332">
        <v>0.312</v>
      </c>
      <c r="G174" s="332">
        <v>0.246</v>
      </c>
      <c r="H174" s="332">
        <v>0.122</v>
      </c>
      <c r="I174" s="332">
        <v>0.02</v>
      </c>
      <c r="J174" s="9"/>
      <c r="K174" s="9"/>
      <c r="L174" s="9"/>
      <c r="M174" s="9"/>
      <c r="O174" s="9"/>
      <c r="P174" s="9"/>
      <c r="Q174" s="9"/>
      <c r="R174" s="9"/>
    </row>
    <row r="175" spans="1:18" ht="16" x14ac:dyDescent="0.35">
      <c r="A175" s="9"/>
      <c r="B175" s="214"/>
      <c r="C175" s="230" t="s">
        <v>76</v>
      </c>
      <c r="D175" s="332">
        <v>0.22800000000000001</v>
      </c>
      <c r="E175" s="332">
        <v>0.16300000000000001</v>
      </c>
      <c r="F175" s="332">
        <v>0.28999999999999998</v>
      </c>
      <c r="G175" s="332">
        <v>0.20300000000000001</v>
      </c>
      <c r="H175" s="332">
        <v>0.1</v>
      </c>
      <c r="I175" s="332">
        <v>1.4999999999999999E-2</v>
      </c>
      <c r="J175" s="9"/>
      <c r="K175" s="9"/>
      <c r="L175" s="9"/>
      <c r="M175" s="9"/>
      <c r="O175" s="9"/>
      <c r="P175" s="9"/>
      <c r="Q175" s="9"/>
      <c r="R175" s="9"/>
    </row>
    <row r="176" spans="1:18" ht="16.5" thickBot="1" x14ac:dyDescent="0.4">
      <c r="A176" s="9"/>
      <c r="B176" s="223"/>
      <c r="C176" s="231" t="s">
        <v>92</v>
      </c>
      <c r="D176" s="333">
        <v>0.158</v>
      </c>
      <c r="E176" s="333">
        <v>0.13300000000000001</v>
      </c>
      <c r="F176" s="333">
        <v>0.34399999999999997</v>
      </c>
      <c r="G176" s="333">
        <v>0.246</v>
      </c>
      <c r="H176" s="333">
        <v>0.111</v>
      </c>
      <c r="I176" s="333">
        <v>8.9999999999999993E-3</v>
      </c>
      <c r="J176" s="9"/>
      <c r="K176" s="9"/>
      <c r="L176" s="9"/>
      <c r="M176" s="9"/>
      <c r="O176" s="9"/>
      <c r="P176" s="9"/>
      <c r="Q176" s="9"/>
      <c r="R176" s="9"/>
    </row>
    <row r="177" spans="1:18" ht="16" x14ac:dyDescent="0.35">
      <c r="A177" s="9"/>
      <c r="B177" s="220" t="s">
        <v>47</v>
      </c>
      <c r="C177" s="220" t="s">
        <v>80</v>
      </c>
      <c r="D177" s="244">
        <v>0.19359999999999999</v>
      </c>
      <c r="E177" s="244">
        <v>0.1663</v>
      </c>
      <c r="F177" s="244">
        <v>0.31659999999999999</v>
      </c>
      <c r="G177" s="244">
        <v>0.2263</v>
      </c>
      <c r="H177" s="244">
        <v>8.9800000000000005E-2</v>
      </c>
      <c r="I177" s="244">
        <v>7.4000000000000003E-3</v>
      </c>
      <c r="J177" s="9"/>
      <c r="K177" s="9"/>
      <c r="L177" s="9"/>
      <c r="M177" s="9"/>
      <c r="O177" s="9"/>
      <c r="P177" s="9"/>
      <c r="Q177" s="9"/>
      <c r="R177" s="9"/>
    </row>
    <row r="178" spans="1:18" ht="16" x14ac:dyDescent="0.35">
      <c r="A178" s="9"/>
      <c r="B178" s="214"/>
      <c r="C178" s="230" t="s">
        <v>379</v>
      </c>
      <c r="D178" s="245">
        <v>0.22213247172859452</v>
      </c>
      <c r="E178" s="245">
        <v>0.16451265481960151</v>
      </c>
      <c r="F178" s="245">
        <v>0.31206246634356488</v>
      </c>
      <c r="G178" s="245">
        <v>0.2113624124932687</v>
      </c>
      <c r="H178" s="245">
        <v>8.1044695745826609E-2</v>
      </c>
      <c r="I178" s="245">
        <v>8.8852988691437811E-3</v>
      </c>
      <c r="J178" s="9"/>
      <c r="K178" s="9"/>
      <c r="L178" s="9"/>
      <c r="M178" s="9"/>
      <c r="O178" s="9"/>
      <c r="P178" s="9"/>
      <c r="Q178" s="9"/>
      <c r="R178" s="9"/>
    </row>
    <row r="179" spans="1:18" ht="16" x14ac:dyDescent="0.35">
      <c r="A179" s="9"/>
      <c r="B179" s="214"/>
      <c r="C179" s="230" t="s">
        <v>52</v>
      </c>
      <c r="D179" s="245">
        <v>0.18861653510594101</v>
      </c>
      <c r="E179" s="245">
        <v>0.17739925218113833</v>
      </c>
      <c r="F179" s="245">
        <v>0.32156211051100958</v>
      </c>
      <c r="G179" s="245">
        <v>0.22642293311175737</v>
      </c>
      <c r="H179" s="245">
        <v>8.3298712089738269E-2</v>
      </c>
      <c r="I179" s="245">
        <v>2.7004570004154549E-3</v>
      </c>
      <c r="J179" s="9"/>
      <c r="K179" s="9"/>
      <c r="L179" s="9"/>
      <c r="M179" s="9"/>
      <c r="O179" s="9"/>
      <c r="P179" s="9"/>
      <c r="Q179" s="9"/>
      <c r="R179" s="9"/>
    </row>
    <row r="180" spans="1:18" ht="16" x14ac:dyDescent="0.35">
      <c r="A180" s="9"/>
      <c r="B180" s="214"/>
      <c r="C180" s="230" t="s">
        <v>53</v>
      </c>
      <c r="D180" s="245">
        <v>0.16582278481012658</v>
      </c>
      <c r="E180" s="245">
        <v>0.15316455696202533</v>
      </c>
      <c r="F180" s="245">
        <v>0.30316455696202532</v>
      </c>
      <c r="G180" s="245">
        <v>0.24367088607594936</v>
      </c>
      <c r="H180" s="245">
        <v>0.11772151898734177</v>
      </c>
      <c r="I180" s="245">
        <v>1.6455696202531647E-2</v>
      </c>
      <c r="J180" s="9"/>
      <c r="K180" s="9"/>
      <c r="L180" s="9"/>
      <c r="M180" s="9"/>
      <c r="O180" s="9"/>
      <c r="P180" s="9"/>
      <c r="Q180" s="9"/>
      <c r="R180" s="9"/>
    </row>
    <row r="181" spans="1:18" ht="16" x14ac:dyDescent="0.35">
      <c r="A181" s="9"/>
      <c r="B181" s="214"/>
      <c r="C181" s="230" t="s">
        <v>76</v>
      </c>
      <c r="D181" s="245" t="s">
        <v>89</v>
      </c>
      <c r="E181" s="245" t="s">
        <v>89</v>
      </c>
      <c r="F181" s="245" t="s">
        <v>89</v>
      </c>
      <c r="G181" s="245" t="s">
        <v>89</v>
      </c>
      <c r="H181" s="245" t="s">
        <v>89</v>
      </c>
      <c r="I181" s="245" t="s">
        <v>89</v>
      </c>
      <c r="J181" s="9"/>
      <c r="K181" s="9"/>
      <c r="L181" s="9"/>
      <c r="M181" s="9"/>
      <c r="O181" s="9"/>
      <c r="P181" s="9"/>
      <c r="Q181" s="9"/>
      <c r="R181" s="9"/>
    </row>
    <row r="182" spans="1:18" ht="16.5" thickBot="1" x14ac:dyDescent="0.4">
      <c r="A182" s="9"/>
      <c r="B182" s="223"/>
      <c r="C182" s="231" t="s">
        <v>92</v>
      </c>
      <c r="D182" s="246">
        <v>0.13525835866261399</v>
      </c>
      <c r="E182" s="246">
        <v>0.12613981762917933</v>
      </c>
      <c r="F182" s="246">
        <v>0.33890577507598785</v>
      </c>
      <c r="G182" s="246">
        <v>0.26747720364741639</v>
      </c>
      <c r="H182" s="246">
        <v>0.12006079027355623</v>
      </c>
      <c r="I182" s="246">
        <v>1.2158054711246201E-2</v>
      </c>
      <c r="J182" s="9"/>
      <c r="K182" s="9"/>
      <c r="L182" s="9"/>
      <c r="M182" s="9"/>
      <c r="O182" s="9"/>
      <c r="P182" s="9"/>
      <c r="Q182" s="9"/>
      <c r="R182" s="9"/>
    </row>
    <row r="183" spans="1:18" ht="16" x14ac:dyDescent="0.35">
      <c r="A183" s="9"/>
      <c r="B183" s="220" t="s">
        <v>48</v>
      </c>
      <c r="C183" s="220" t="s">
        <v>80</v>
      </c>
      <c r="D183" s="244">
        <v>0.19466035822913147</v>
      </c>
      <c r="E183" s="244">
        <v>0.16686380533964176</v>
      </c>
      <c r="F183" s="244">
        <v>0.31328151402500842</v>
      </c>
      <c r="G183" s="244">
        <v>0.22634335924298749</v>
      </c>
      <c r="H183" s="244">
        <v>9.1078066914498143E-2</v>
      </c>
      <c r="I183" s="244">
        <v>7.7728962487326799E-3</v>
      </c>
      <c r="J183" s="9"/>
      <c r="K183" s="9"/>
      <c r="L183" s="9"/>
      <c r="M183" s="9"/>
      <c r="N183" s="9"/>
      <c r="O183" s="9"/>
      <c r="P183" s="9"/>
      <c r="Q183" s="9"/>
      <c r="R183" s="9"/>
    </row>
    <row r="184" spans="1:18" ht="16" x14ac:dyDescent="0.35">
      <c r="A184" s="9"/>
      <c r="B184" s="214"/>
      <c r="C184" s="230" t="s">
        <v>379</v>
      </c>
      <c r="D184" s="245">
        <v>0.22213247172859452</v>
      </c>
      <c r="E184" s="245">
        <v>0.16451265481960151</v>
      </c>
      <c r="F184" s="245">
        <v>0.31206246634356488</v>
      </c>
      <c r="G184" s="245">
        <v>0.2113624124932687</v>
      </c>
      <c r="H184" s="245">
        <v>8.1044695745826609E-2</v>
      </c>
      <c r="I184" s="245">
        <v>8.8852988691437811E-3</v>
      </c>
      <c r="J184" s="9"/>
      <c r="K184" s="9"/>
      <c r="L184" s="9"/>
      <c r="M184" s="9"/>
      <c r="N184" s="9"/>
      <c r="O184" s="9"/>
      <c r="P184" s="9"/>
      <c r="Q184" s="9"/>
      <c r="R184" s="9"/>
    </row>
    <row r="185" spans="1:18" ht="16" x14ac:dyDescent="0.35">
      <c r="A185" s="9"/>
      <c r="B185" s="214"/>
      <c r="C185" s="230" t="s">
        <v>52</v>
      </c>
      <c r="D185" s="245">
        <v>0.18861653510594101</v>
      </c>
      <c r="E185" s="245">
        <v>0.17739925218113833</v>
      </c>
      <c r="F185" s="245">
        <v>0.32156211051100958</v>
      </c>
      <c r="G185" s="245">
        <v>0.22642293311175737</v>
      </c>
      <c r="H185" s="245">
        <v>8.3298712089738269E-2</v>
      </c>
      <c r="I185" s="245">
        <v>2.7004570004154549E-3</v>
      </c>
      <c r="J185" s="9"/>
      <c r="K185" s="9"/>
      <c r="L185" s="9"/>
      <c r="M185" s="9"/>
      <c r="N185" s="9"/>
      <c r="O185" s="9"/>
      <c r="P185" s="9"/>
      <c r="Q185" s="9"/>
      <c r="R185" s="9"/>
    </row>
    <row r="186" spans="1:18" ht="16" x14ac:dyDescent="0.35">
      <c r="A186" s="9"/>
      <c r="B186" s="214"/>
      <c r="C186" s="230" t="s">
        <v>53</v>
      </c>
      <c r="D186" s="245">
        <v>0.16582278481012658</v>
      </c>
      <c r="E186" s="245">
        <v>0.15316455696202533</v>
      </c>
      <c r="F186" s="245">
        <v>0.30316455696202532</v>
      </c>
      <c r="G186" s="245">
        <v>0.24367088607594936</v>
      </c>
      <c r="H186" s="245">
        <v>0.11772151898734177</v>
      </c>
      <c r="I186" s="245">
        <v>1.6455696202531647E-2</v>
      </c>
      <c r="J186" s="9"/>
      <c r="K186" s="9"/>
      <c r="L186" s="9"/>
      <c r="M186" s="9"/>
      <c r="N186" s="9"/>
      <c r="O186" s="9"/>
      <c r="P186" s="9"/>
      <c r="Q186" s="9"/>
      <c r="R186" s="9"/>
    </row>
    <row r="187" spans="1:18" ht="16" x14ac:dyDescent="0.35">
      <c r="A187" s="9"/>
      <c r="B187" s="214"/>
      <c r="C187" s="230" t="s">
        <v>76</v>
      </c>
      <c r="D187" s="245">
        <v>0.20560747663551401</v>
      </c>
      <c r="E187" s="245">
        <v>0.17289719626168223</v>
      </c>
      <c r="F187" s="245">
        <v>0.27943925233644862</v>
      </c>
      <c r="G187" s="245">
        <v>0.22710280373831776</v>
      </c>
      <c r="H187" s="245">
        <v>0.10373831775700934</v>
      </c>
      <c r="I187" s="245">
        <v>1.1214953271028037E-2</v>
      </c>
      <c r="J187" s="9"/>
      <c r="K187" s="9"/>
      <c r="L187" s="9"/>
      <c r="M187" s="9"/>
      <c r="N187" s="9"/>
      <c r="O187" s="9"/>
      <c r="P187" s="9"/>
      <c r="Q187" s="9"/>
      <c r="R187" s="9"/>
    </row>
    <row r="188" spans="1:18" ht="16.5" thickBot="1" x14ac:dyDescent="0.4">
      <c r="A188" s="9"/>
      <c r="B188" s="223"/>
      <c r="C188" s="231" t="s">
        <v>92</v>
      </c>
      <c r="D188" s="246">
        <v>0.13525835866261399</v>
      </c>
      <c r="E188" s="246">
        <v>0.12613981762917933</v>
      </c>
      <c r="F188" s="246">
        <v>0.33890577507598785</v>
      </c>
      <c r="G188" s="246">
        <v>0.26747720364741639</v>
      </c>
      <c r="H188" s="246">
        <v>0.12006079027355623</v>
      </c>
      <c r="I188" s="246">
        <v>1.2158054711246201E-2</v>
      </c>
      <c r="J188" s="9"/>
      <c r="K188" s="9"/>
      <c r="L188" s="9"/>
      <c r="M188" s="9"/>
      <c r="N188" s="9"/>
      <c r="O188" s="9"/>
      <c r="P188" s="9"/>
      <c r="Q188" s="9"/>
      <c r="R188" s="9"/>
    </row>
    <row r="189" spans="1:18" ht="16" x14ac:dyDescent="0.35">
      <c r="A189" s="9"/>
      <c r="B189" s="220" t="s">
        <v>49</v>
      </c>
      <c r="C189" s="220" t="s">
        <v>80</v>
      </c>
      <c r="D189" s="247">
        <v>19.600000000000001</v>
      </c>
      <c r="E189" s="247">
        <v>15.9</v>
      </c>
      <c r="F189" s="247">
        <v>31.1</v>
      </c>
      <c r="G189" s="247">
        <v>23</v>
      </c>
      <c r="H189" s="247">
        <v>9.6</v>
      </c>
      <c r="I189" s="247">
        <v>0.8</v>
      </c>
      <c r="J189" s="9"/>
      <c r="K189" s="9"/>
      <c r="L189" s="9"/>
      <c r="M189" s="9"/>
      <c r="N189" s="9"/>
      <c r="O189" s="9"/>
      <c r="P189" s="9"/>
      <c r="Q189" s="9"/>
      <c r="R189" s="9"/>
    </row>
    <row r="190" spans="1:18" ht="16" x14ac:dyDescent="0.35">
      <c r="A190" s="9"/>
      <c r="B190" s="214"/>
      <c r="C190" s="230" t="s">
        <v>379</v>
      </c>
      <c r="D190" s="245">
        <v>0.2150158618258724</v>
      </c>
      <c r="E190" s="245">
        <v>0.14839619316179062</v>
      </c>
      <c r="F190" s="245">
        <v>0.30066972153683469</v>
      </c>
      <c r="G190" s="245">
        <v>0.22541416989777935</v>
      </c>
      <c r="H190" s="245">
        <v>0.10081071554458935</v>
      </c>
      <c r="I190" s="245">
        <v>9.6933380331335924E-3</v>
      </c>
      <c r="J190" s="9"/>
      <c r="K190" s="9"/>
      <c r="L190" s="9"/>
      <c r="M190" s="9"/>
      <c r="N190" s="9"/>
      <c r="O190" s="9"/>
      <c r="P190" s="9"/>
      <c r="Q190" s="9"/>
      <c r="R190" s="9"/>
    </row>
    <row r="191" spans="1:18" ht="16" x14ac:dyDescent="0.35">
      <c r="A191" s="9"/>
      <c r="B191" s="214"/>
      <c r="C191" s="230" t="s">
        <v>52</v>
      </c>
      <c r="D191" s="245">
        <v>0.18557607739665788</v>
      </c>
      <c r="E191" s="245">
        <v>0.1693051890941073</v>
      </c>
      <c r="F191" s="245">
        <v>0.3386103781882146</v>
      </c>
      <c r="G191" s="245">
        <v>0.2247141600703606</v>
      </c>
      <c r="H191" s="245">
        <v>7.9595426561125768E-2</v>
      </c>
      <c r="I191" s="245">
        <v>2.1987686895338612E-3</v>
      </c>
      <c r="J191" s="9"/>
      <c r="K191" s="9"/>
      <c r="L191" s="9"/>
      <c r="M191" s="9"/>
      <c r="N191" s="9"/>
      <c r="O191" s="9"/>
      <c r="P191" s="9"/>
      <c r="Q191" s="9"/>
      <c r="R191" s="9"/>
    </row>
    <row r="192" spans="1:18" ht="16" x14ac:dyDescent="0.35">
      <c r="A192" s="9"/>
      <c r="B192" s="214"/>
      <c r="C192" s="230" t="s">
        <v>53</v>
      </c>
      <c r="D192" s="245">
        <v>0.17450863609291245</v>
      </c>
      <c r="E192" s="245">
        <v>0.17748659916617035</v>
      </c>
      <c r="F192" s="245">
        <v>0.29720071471113757</v>
      </c>
      <c r="G192" s="245">
        <v>0.23228111971411555</v>
      </c>
      <c r="H192" s="245">
        <v>0.10303752233472305</v>
      </c>
      <c r="I192" s="245">
        <v>1.5485407980941036E-2</v>
      </c>
      <c r="J192" s="9"/>
      <c r="K192" s="9"/>
      <c r="L192" s="9"/>
      <c r="M192" s="9"/>
      <c r="O192" s="9"/>
      <c r="P192" s="9"/>
      <c r="Q192" s="9"/>
      <c r="R192" s="9"/>
    </row>
    <row r="193" spans="1:20" ht="16" x14ac:dyDescent="0.35">
      <c r="A193" s="9"/>
      <c r="B193" s="214"/>
      <c r="C193" s="230" t="s">
        <v>76</v>
      </c>
      <c r="D193" s="245">
        <v>0.20412844036697247</v>
      </c>
      <c r="E193" s="245">
        <v>0.15711009174311927</v>
      </c>
      <c r="F193" s="245">
        <v>0.29472477064220182</v>
      </c>
      <c r="G193" s="245">
        <v>0.23738532110091742</v>
      </c>
      <c r="H193" s="245">
        <v>9.6330275229357804E-2</v>
      </c>
      <c r="I193" s="245">
        <v>1.0321100917431193E-2</v>
      </c>
      <c r="J193" s="9"/>
      <c r="K193" s="9"/>
      <c r="L193" s="9"/>
      <c r="M193" s="9"/>
      <c r="O193" s="9"/>
      <c r="P193" s="9"/>
      <c r="Q193" s="9"/>
      <c r="R193" s="9"/>
    </row>
    <row r="194" spans="1:20" ht="16.5" thickBot="1" x14ac:dyDescent="0.4">
      <c r="A194" s="9"/>
      <c r="B194" s="223"/>
      <c r="C194" s="231" t="s">
        <v>92</v>
      </c>
      <c r="D194" s="246">
        <v>0.16313725490196079</v>
      </c>
      <c r="E194" s="246">
        <v>0.14352941176470588</v>
      </c>
      <c r="F194" s="246">
        <v>0.30901960784313726</v>
      </c>
      <c r="G194" s="246">
        <v>0.25019607843137254</v>
      </c>
      <c r="H194" s="246">
        <v>0.12313725490196079</v>
      </c>
      <c r="I194" s="246">
        <v>1.0980392156862745E-2</v>
      </c>
      <c r="J194" s="9"/>
      <c r="K194" s="9"/>
      <c r="L194" s="9"/>
      <c r="M194" s="9"/>
      <c r="O194" s="9"/>
      <c r="P194" s="9"/>
      <c r="Q194" s="9"/>
      <c r="R194" s="9"/>
    </row>
    <row r="195" spans="1:20" ht="16" x14ac:dyDescent="0.35">
      <c r="A195" s="9"/>
      <c r="B195" s="220" t="s">
        <v>50</v>
      </c>
      <c r="C195" s="220" t="s">
        <v>80</v>
      </c>
      <c r="D195" s="247">
        <v>0.20699999999999999</v>
      </c>
      <c r="E195" s="247">
        <v>0.16800000000000001</v>
      </c>
      <c r="F195" s="247">
        <v>0.31</v>
      </c>
      <c r="G195" s="247">
        <v>0.21899999999999997</v>
      </c>
      <c r="H195" s="247">
        <v>8.8000000000000009E-2</v>
      </c>
      <c r="I195" s="247">
        <v>6.9999999999999993E-3</v>
      </c>
      <c r="J195" s="9"/>
      <c r="K195" s="9"/>
      <c r="L195" s="9"/>
      <c r="M195" s="9"/>
      <c r="O195" s="9"/>
      <c r="P195" s="9"/>
      <c r="Q195" s="9"/>
      <c r="R195" s="9"/>
    </row>
    <row r="196" spans="1:20" ht="16" x14ac:dyDescent="0.35">
      <c r="A196" s="9"/>
      <c r="B196" s="214"/>
      <c r="C196" s="230" t="s">
        <v>379</v>
      </c>
      <c r="D196" s="248">
        <v>0.23499999999999999</v>
      </c>
      <c r="E196" s="248">
        <v>0.16200000000000001</v>
      </c>
      <c r="F196" s="248">
        <v>0.29299999999999998</v>
      </c>
      <c r="G196" s="248">
        <v>0.21299999999999999</v>
      </c>
      <c r="H196" s="248">
        <v>8.8000000000000009E-2</v>
      </c>
      <c r="I196" s="248">
        <v>8.0000000000000002E-3</v>
      </c>
      <c r="J196" s="9"/>
      <c r="K196" s="121"/>
      <c r="L196" s="9"/>
      <c r="M196" s="9"/>
      <c r="N196" s="9"/>
      <c r="O196" s="9"/>
      <c r="P196" s="9"/>
      <c r="Q196" s="9"/>
      <c r="R196" s="9"/>
    </row>
    <row r="197" spans="1:20" ht="16" x14ac:dyDescent="0.35">
      <c r="A197" s="9"/>
      <c r="B197" s="214"/>
      <c r="C197" s="230" t="s">
        <v>52</v>
      </c>
      <c r="D197" s="248">
        <v>0.193</v>
      </c>
      <c r="E197" s="248">
        <v>0.16899999999999998</v>
      </c>
      <c r="F197" s="248">
        <v>0.34499999999999997</v>
      </c>
      <c r="G197" s="248">
        <v>0.215</v>
      </c>
      <c r="H197" s="248">
        <v>7.5999999999999998E-2</v>
      </c>
      <c r="I197" s="248">
        <v>2E-3</v>
      </c>
      <c r="J197" s="9"/>
      <c r="K197" s="9"/>
      <c r="L197" s="9"/>
      <c r="M197" s="9"/>
      <c r="N197" s="9"/>
      <c r="O197" s="9"/>
      <c r="P197" s="9"/>
      <c r="Q197" s="9"/>
      <c r="R197" s="9"/>
    </row>
    <row r="198" spans="1:20" ht="16" x14ac:dyDescent="0.35">
      <c r="A198" s="9"/>
      <c r="B198" s="214"/>
      <c r="C198" s="230" t="s">
        <v>53</v>
      </c>
      <c r="D198" s="248">
        <v>0.19500000000000001</v>
      </c>
      <c r="E198" s="248">
        <v>0.17499999999999999</v>
      </c>
      <c r="F198" s="248">
        <v>0.27100000000000002</v>
      </c>
      <c r="G198" s="248">
        <v>0.24</v>
      </c>
      <c r="H198" s="248">
        <v>0.10199999999999999</v>
      </c>
      <c r="I198" s="248">
        <v>1.7000000000000001E-2</v>
      </c>
      <c r="J198" s="9"/>
      <c r="K198" s="9"/>
      <c r="L198" s="9"/>
      <c r="M198" s="9"/>
      <c r="N198" s="9"/>
      <c r="O198" s="9"/>
      <c r="P198" s="9"/>
      <c r="Q198" s="9"/>
      <c r="R198" s="9"/>
    </row>
    <row r="199" spans="1:20" ht="16" x14ac:dyDescent="0.35">
      <c r="A199" s="9"/>
      <c r="B199" s="214"/>
      <c r="C199" s="230" t="s">
        <v>76</v>
      </c>
      <c r="D199" s="248">
        <v>0.193</v>
      </c>
      <c r="E199" s="248">
        <v>0.17</v>
      </c>
      <c r="F199" s="248">
        <v>0.29699999999999999</v>
      </c>
      <c r="G199" s="248">
        <v>0.22800000000000001</v>
      </c>
      <c r="H199" s="248">
        <v>0.10099999999999999</v>
      </c>
      <c r="I199" s="248">
        <v>1.1000000000000001E-2</v>
      </c>
      <c r="J199" s="9"/>
      <c r="K199" s="9"/>
      <c r="L199" s="9"/>
      <c r="M199" s="9"/>
      <c r="N199" s="9"/>
      <c r="O199" s="9"/>
      <c r="P199" s="9"/>
      <c r="Q199" s="9"/>
      <c r="R199" s="9"/>
    </row>
    <row r="200" spans="1:20" ht="16" x14ac:dyDescent="0.35">
      <c r="A200" s="9"/>
      <c r="B200" s="214"/>
      <c r="C200" s="230" t="s">
        <v>82</v>
      </c>
      <c r="D200" s="248">
        <v>0.187</v>
      </c>
      <c r="E200" s="248">
        <v>0.21</v>
      </c>
      <c r="F200" s="248">
        <v>0.307</v>
      </c>
      <c r="G200" s="248">
        <v>0.20100000000000001</v>
      </c>
      <c r="H200" s="248">
        <v>0.09</v>
      </c>
      <c r="I200" s="248">
        <v>5.0000000000000001E-3</v>
      </c>
      <c r="J200" s="9"/>
      <c r="K200" s="9"/>
      <c r="L200" s="9"/>
      <c r="M200" s="9"/>
      <c r="N200" s="9"/>
      <c r="O200" s="9"/>
      <c r="P200" s="9"/>
      <c r="Q200" s="9"/>
      <c r="R200" s="9"/>
    </row>
    <row r="201" spans="1:20" ht="16.5" thickBot="1" x14ac:dyDescent="0.4">
      <c r="A201" s="9"/>
      <c r="B201" s="223"/>
      <c r="C201" s="231" t="s">
        <v>92</v>
      </c>
      <c r="D201" s="249">
        <v>0.115</v>
      </c>
      <c r="E201" s="249">
        <v>0.14300000000000002</v>
      </c>
      <c r="F201" s="249">
        <v>0.35799999999999998</v>
      </c>
      <c r="G201" s="249">
        <v>0.26899999999999996</v>
      </c>
      <c r="H201" s="249">
        <v>0.10099999999999999</v>
      </c>
      <c r="I201" s="249">
        <v>1.3000000000000001E-2</v>
      </c>
      <c r="J201" s="9"/>
      <c r="K201" s="9"/>
      <c r="L201" s="9"/>
      <c r="M201" s="9"/>
      <c r="N201" s="9"/>
      <c r="O201" s="9"/>
      <c r="P201" s="9"/>
      <c r="Q201" s="9"/>
      <c r="R201" s="9"/>
    </row>
    <row r="202" spans="1:20" ht="17.5" x14ac:dyDescent="0.45">
      <c r="A202" s="9"/>
      <c r="B202" s="111"/>
      <c r="C202" s="111"/>
      <c r="D202" s="107"/>
      <c r="E202" s="107"/>
      <c r="F202" s="107"/>
      <c r="G202" s="107"/>
      <c r="H202" s="107"/>
      <c r="I202" s="107"/>
      <c r="J202" s="9"/>
      <c r="K202" s="9"/>
      <c r="L202" s="9"/>
      <c r="M202" s="9"/>
      <c r="N202" s="9"/>
      <c r="O202" s="9"/>
      <c r="P202" s="9"/>
      <c r="Q202" s="9"/>
      <c r="R202" s="9"/>
    </row>
    <row r="203" spans="1:20" s="606" customFormat="1" ht="17.5" x14ac:dyDescent="0.45">
      <c r="B203" s="630" t="s">
        <v>260</v>
      </c>
      <c r="C203" s="630"/>
      <c r="D203" s="629"/>
      <c r="E203" s="629"/>
      <c r="F203" s="629"/>
      <c r="G203" s="629"/>
      <c r="H203" s="629"/>
      <c r="I203" s="629"/>
      <c r="K203" s="629"/>
    </row>
    <row r="204" spans="1:20" ht="5.5" customHeight="1" thickBot="1" x14ac:dyDescent="0.5">
      <c r="A204" s="9"/>
      <c r="B204" s="111"/>
      <c r="C204" s="111"/>
      <c r="D204" s="107"/>
      <c r="E204" s="107"/>
      <c r="F204" s="107"/>
      <c r="G204" s="107"/>
      <c r="H204" s="107"/>
      <c r="I204" s="107"/>
      <c r="J204" s="9"/>
      <c r="K204" s="9"/>
      <c r="L204" s="9"/>
      <c r="N204" s="9"/>
      <c r="O204" s="9"/>
      <c r="P204" s="9"/>
      <c r="Q204" s="9"/>
      <c r="R204" s="9"/>
    </row>
    <row r="205" spans="1:20" ht="32" x14ac:dyDescent="0.45">
      <c r="A205" s="9"/>
      <c r="B205" s="883" t="s">
        <v>380</v>
      </c>
      <c r="C205" s="636" t="s">
        <v>43</v>
      </c>
      <c r="D205" s="636" t="s">
        <v>44</v>
      </c>
      <c r="E205" s="883" t="s">
        <v>45</v>
      </c>
      <c r="F205" s="883" t="s">
        <v>46</v>
      </c>
      <c r="G205" s="883" t="s">
        <v>47</v>
      </c>
      <c r="H205" s="883" t="s">
        <v>48</v>
      </c>
      <c r="I205" s="883" t="s">
        <v>49</v>
      </c>
      <c r="J205" s="883" t="s">
        <v>50</v>
      </c>
      <c r="K205" s="107"/>
      <c r="L205" s="9"/>
      <c r="M205" s="9"/>
      <c r="N205" s="9"/>
      <c r="O205" s="9"/>
      <c r="P205" s="9"/>
      <c r="Q205" s="9"/>
      <c r="R205" s="9"/>
      <c r="S205" s="9"/>
      <c r="T205" s="9"/>
    </row>
    <row r="206" spans="1:20" ht="17.5" x14ac:dyDescent="0.45">
      <c r="A206" s="9"/>
      <c r="B206" s="214" t="s">
        <v>80</v>
      </c>
      <c r="C206" s="498" t="s">
        <v>381</v>
      </c>
      <c r="D206" s="498" t="s">
        <v>381</v>
      </c>
      <c r="E206" s="334" t="s">
        <v>382</v>
      </c>
      <c r="F206" s="334" t="s">
        <v>383</v>
      </c>
      <c r="G206" s="334" t="s">
        <v>382</v>
      </c>
      <c r="H206" s="261" t="s">
        <v>383</v>
      </c>
      <c r="I206" s="258" t="s">
        <v>381</v>
      </c>
      <c r="J206" s="258" t="s">
        <v>384</v>
      </c>
      <c r="K206" s="107"/>
      <c r="L206" s="9"/>
      <c r="M206" s="9"/>
      <c r="N206" s="9"/>
      <c r="O206" s="9"/>
      <c r="P206" s="9"/>
      <c r="Q206" s="9"/>
      <c r="R206" s="9"/>
      <c r="S206" s="9"/>
      <c r="T206" s="9"/>
    </row>
    <row r="207" spans="1:20" ht="17.5" x14ac:dyDescent="0.45">
      <c r="A207" s="9"/>
      <c r="B207" s="230" t="s">
        <v>385</v>
      </c>
      <c r="C207" s="481" t="s">
        <v>386</v>
      </c>
      <c r="D207" s="481" t="s">
        <v>387</v>
      </c>
      <c r="E207" s="314" t="s">
        <v>387</v>
      </c>
      <c r="F207" s="314" t="s">
        <v>381</v>
      </c>
      <c r="G207" s="314" t="s">
        <v>383</v>
      </c>
      <c r="H207" s="239" t="s">
        <v>388</v>
      </c>
      <c r="I207" s="256" t="s">
        <v>389</v>
      </c>
      <c r="J207" s="256" t="s">
        <v>390</v>
      </c>
      <c r="K207" s="107"/>
      <c r="L207" s="9"/>
      <c r="M207" s="9"/>
      <c r="N207" s="9"/>
      <c r="O207" s="9"/>
      <c r="P207" s="9"/>
      <c r="Q207" s="9"/>
      <c r="R207" s="9"/>
      <c r="S207" s="9"/>
      <c r="T207" s="9"/>
    </row>
    <row r="208" spans="1:20" ht="18" thickBot="1" x14ac:dyDescent="0.5">
      <c r="A208" s="9"/>
      <c r="B208" s="231" t="s">
        <v>391</v>
      </c>
      <c r="C208" s="482" t="s">
        <v>392</v>
      </c>
      <c r="D208" s="482" t="s">
        <v>393</v>
      </c>
      <c r="E208" s="315" t="s">
        <v>394</v>
      </c>
      <c r="F208" s="315" t="s">
        <v>395</v>
      </c>
      <c r="G208" s="315" t="s">
        <v>394</v>
      </c>
      <c r="H208" s="240" t="s">
        <v>394</v>
      </c>
      <c r="I208" s="257" t="s">
        <v>396</v>
      </c>
      <c r="J208" s="257" t="s">
        <v>397</v>
      </c>
      <c r="K208" s="107"/>
      <c r="L208" s="9"/>
      <c r="M208" s="9"/>
      <c r="N208" s="9"/>
      <c r="O208" s="9"/>
      <c r="P208" s="9"/>
      <c r="Q208" s="9"/>
      <c r="R208" s="9"/>
      <c r="S208" s="9"/>
      <c r="T208" s="9"/>
    </row>
    <row r="209" spans="1:20" ht="17.5" x14ac:dyDescent="0.45">
      <c r="A209" s="9"/>
      <c r="B209" s="111"/>
      <c r="C209" s="111"/>
      <c r="D209" s="107"/>
      <c r="E209" s="107"/>
      <c r="F209" s="107"/>
      <c r="G209" s="107"/>
      <c r="H209" s="107"/>
      <c r="I209" s="107"/>
      <c r="J209" s="9"/>
      <c r="K209" s="9"/>
      <c r="L209" s="9"/>
      <c r="M209" s="9"/>
      <c r="N209" s="9"/>
      <c r="O209" s="9"/>
      <c r="P209" s="9"/>
      <c r="Q209" s="9"/>
      <c r="R209" s="9"/>
    </row>
    <row r="210" spans="1:20" s="606" customFormat="1" ht="17.5" x14ac:dyDescent="0.45">
      <c r="B210" s="630" t="s">
        <v>262</v>
      </c>
      <c r="C210" s="630"/>
      <c r="D210" s="629"/>
      <c r="E210" s="629"/>
      <c r="F210" s="629"/>
      <c r="G210" s="629"/>
      <c r="H210" s="629"/>
      <c r="I210" s="629"/>
      <c r="K210" s="629"/>
    </row>
    <row r="211" spans="1:20" ht="5.5" customHeight="1" thickBot="1" x14ac:dyDescent="0.5">
      <c r="A211" s="9"/>
      <c r="B211" s="111"/>
      <c r="C211" s="111"/>
      <c r="D211" s="107"/>
      <c r="E211" s="107"/>
      <c r="F211" s="107"/>
      <c r="G211" s="107"/>
      <c r="H211" s="107"/>
      <c r="I211" s="107"/>
      <c r="J211" s="9"/>
      <c r="K211" s="9"/>
      <c r="L211" s="9"/>
      <c r="N211" s="9"/>
      <c r="O211" s="9"/>
      <c r="P211" s="9"/>
      <c r="Q211" s="9"/>
      <c r="R211" s="9"/>
    </row>
    <row r="212" spans="1:20" ht="32" x14ac:dyDescent="0.45">
      <c r="A212" s="129"/>
      <c r="B212" s="883" t="s">
        <v>368</v>
      </c>
      <c r="C212" s="636" t="s">
        <v>43</v>
      </c>
      <c r="D212" s="637" t="s">
        <v>44</v>
      </c>
      <c r="E212" s="883" t="s">
        <v>45</v>
      </c>
      <c r="F212" s="883" t="s">
        <v>46</v>
      </c>
      <c r="G212" s="883" t="s">
        <v>47</v>
      </c>
      <c r="H212" s="883" t="s">
        <v>48</v>
      </c>
      <c r="I212" s="883" t="s">
        <v>49</v>
      </c>
      <c r="J212" s="883" t="s">
        <v>50</v>
      </c>
      <c r="K212" s="107"/>
      <c r="L212" s="9"/>
      <c r="P212" s="9"/>
      <c r="Q212" s="9"/>
      <c r="R212" s="9"/>
      <c r="S212" s="9"/>
      <c r="T212" s="9"/>
    </row>
    <row r="213" spans="1:20" ht="17.5" x14ac:dyDescent="0.45">
      <c r="A213" s="129"/>
      <c r="B213" s="214" t="s">
        <v>80</v>
      </c>
      <c r="C213" s="498">
        <v>1.3</v>
      </c>
      <c r="D213" s="499">
        <v>1.28</v>
      </c>
      <c r="E213" s="450">
        <f>234/12841*100</f>
        <v>1.8222879838018846</v>
      </c>
      <c r="F213" s="451">
        <f>231/11744*100</f>
        <v>1.9669618528610353</v>
      </c>
      <c r="G213" s="451">
        <f>78/10821*100</f>
        <v>0.72082062655946777</v>
      </c>
      <c r="H213" s="769">
        <f>82/11922*100</f>
        <v>0.68780405972152325</v>
      </c>
      <c r="I213" s="770">
        <f>81/13797*100</f>
        <v>0.58708414872798431</v>
      </c>
      <c r="J213" s="770">
        <f>(102/14996)*100</f>
        <v>0.6801813817017871</v>
      </c>
      <c r="K213" s="107"/>
      <c r="L213" s="9"/>
      <c r="P213" s="9"/>
      <c r="Q213" s="9"/>
      <c r="R213" s="9"/>
      <c r="S213" s="9"/>
      <c r="T213" s="9"/>
    </row>
    <row r="214" spans="1:20" ht="17.5" x14ac:dyDescent="0.45">
      <c r="A214" s="129"/>
      <c r="B214" s="230" t="s">
        <v>365</v>
      </c>
      <c r="C214" s="481">
        <v>0.78</v>
      </c>
      <c r="D214" s="500">
        <v>0.56999999999999995</v>
      </c>
      <c r="E214" s="452">
        <f>127/9845*100</f>
        <v>1.2899949212798376</v>
      </c>
      <c r="F214" s="453">
        <f>127/9054*100</f>
        <v>1.4026949414623371</v>
      </c>
      <c r="G214" s="453">
        <f>16/8395*100</f>
        <v>0.19058963668850507</v>
      </c>
      <c r="H214" s="457">
        <f>17/9183*100</f>
        <v>0.18512468692148534</v>
      </c>
      <c r="I214" s="771">
        <f>64/11000*100</f>
        <v>0.58181818181818179</v>
      </c>
      <c r="J214" s="771">
        <f>(17/12021)*100</f>
        <v>0.14141918309624824</v>
      </c>
      <c r="K214" s="107"/>
      <c r="L214" s="9"/>
      <c r="P214" s="9"/>
      <c r="Q214" s="9"/>
      <c r="R214" s="9"/>
      <c r="S214" s="9"/>
      <c r="T214" s="9"/>
    </row>
    <row r="215" spans="1:20" ht="17.5" x14ac:dyDescent="0.45">
      <c r="A215" s="129"/>
      <c r="B215" s="231" t="s">
        <v>366</v>
      </c>
      <c r="C215" s="482">
        <v>3.05</v>
      </c>
      <c r="D215" s="501">
        <v>3.76</v>
      </c>
      <c r="E215" s="454">
        <f>107/2996*100</f>
        <v>3.5714285714285712</v>
      </c>
      <c r="F215" s="455">
        <f>104/2690*100</f>
        <v>3.8661710037174721</v>
      </c>
      <c r="G215" s="455">
        <f>62/2426*100</f>
        <v>2.5556471558120362</v>
      </c>
      <c r="H215" s="458">
        <f>65/2739*100</f>
        <v>2.3731288791529757</v>
      </c>
      <c r="I215" s="715">
        <f>17/2797*100</f>
        <v>0.60779406506971756</v>
      </c>
      <c r="J215" s="715">
        <f>(85/2966)*100</f>
        <v>2.8658125421443024</v>
      </c>
      <c r="K215" s="107"/>
      <c r="L215" s="9"/>
      <c r="P215" s="9"/>
      <c r="Q215" s="9"/>
      <c r="R215" s="9"/>
      <c r="S215" s="9"/>
      <c r="T215" s="9"/>
    </row>
    <row r="216" spans="1:20" ht="17.5" x14ac:dyDescent="0.45">
      <c r="A216" s="129"/>
      <c r="B216" s="111"/>
      <c r="C216" s="130"/>
      <c r="D216" s="107"/>
      <c r="E216" s="107"/>
      <c r="F216" s="107"/>
      <c r="G216" s="107"/>
      <c r="H216" s="107"/>
      <c r="I216" s="107"/>
      <c r="J216" s="9"/>
      <c r="K216" s="9"/>
      <c r="L216" s="9"/>
      <c r="N216" s="9"/>
      <c r="O216" s="9"/>
      <c r="P216" s="9"/>
      <c r="Q216" s="9"/>
      <c r="R216" s="9"/>
    </row>
    <row r="217" spans="1:20" s="606" customFormat="1" ht="17.5" x14ac:dyDescent="0.45">
      <c r="B217" s="630" t="s">
        <v>264</v>
      </c>
      <c r="C217" s="630"/>
      <c r="D217" s="629"/>
      <c r="E217" s="629"/>
      <c r="F217" s="629"/>
      <c r="G217" s="629"/>
      <c r="H217" s="629"/>
      <c r="I217" s="629"/>
      <c r="K217" s="629"/>
    </row>
    <row r="218" spans="1:20" ht="5.5" customHeight="1" thickBot="1" x14ac:dyDescent="0.5">
      <c r="A218" s="9"/>
      <c r="B218" s="111"/>
      <c r="C218" s="111"/>
      <c r="D218" s="107"/>
      <c r="E218" s="107"/>
      <c r="F218" s="107"/>
      <c r="G218" s="107"/>
      <c r="H218" s="107"/>
      <c r="I218" s="107"/>
      <c r="J218" s="9"/>
      <c r="K218" s="9"/>
      <c r="L218" s="9"/>
      <c r="N218" s="9"/>
      <c r="O218" s="9"/>
      <c r="P218" s="9"/>
      <c r="Q218" s="9"/>
      <c r="R218" s="9"/>
    </row>
    <row r="219" spans="1:20" ht="32" x14ac:dyDescent="0.45">
      <c r="A219" s="129"/>
      <c r="B219" s="883" t="s">
        <v>368</v>
      </c>
      <c r="C219" s="636" t="s">
        <v>43</v>
      </c>
      <c r="D219" s="637" t="s">
        <v>44</v>
      </c>
      <c r="E219" s="883" t="s">
        <v>45</v>
      </c>
      <c r="F219" s="883" t="s">
        <v>46</v>
      </c>
      <c r="G219" s="883" t="s">
        <v>47</v>
      </c>
      <c r="H219" s="883" t="s">
        <v>48</v>
      </c>
      <c r="I219" s="883" t="s">
        <v>49</v>
      </c>
      <c r="J219" s="883" t="s">
        <v>50</v>
      </c>
      <c r="K219" s="107"/>
      <c r="L219" s="9"/>
      <c r="M219" s="9"/>
      <c r="N219" s="9"/>
      <c r="P219" s="9"/>
      <c r="Q219" s="9"/>
      <c r="R219" s="9"/>
      <c r="S219" s="9"/>
      <c r="T219" s="9"/>
    </row>
    <row r="220" spans="1:20" ht="16.5" x14ac:dyDescent="0.45">
      <c r="A220" s="129"/>
      <c r="B220" s="214" t="s">
        <v>80</v>
      </c>
      <c r="C220" s="498">
        <v>129</v>
      </c>
      <c r="D220" s="502">
        <v>75.319999999999993</v>
      </c>
      <c r="E220" s="456">
        <f>95/234*100</f>
        <v>40.598290598290596</v>
      </c>
      <c r="F220" s="456">
        <f>95/231*100</f>
        <v>41.125541125541126</v>
      </c>
      <c r="G220" s="451">
        <f>54/78*100</f>
        <v>69.230769230769226</v>
      </c>
      <c r="H220" s="772">
        <f>58/82*100</f>
        <v>70.731707317073173</v>
      </c>
      <c r="I220" s="451">
        <v>25.9</v>
      </c>
      <c r="J220" s="772">
        <v>45.1</v>
      </c>
      <c r="M220" s="9"/>
      <c r="N220" s="9"/>
      <c r="O220" s="9"/>
      <c r="P220" s="9"/>
      <c r="Q220" s="9"/>
      <c r="R220" s="9"/>
      <c r="S220" s="9"/>
      <c r="T220" s="9"/>
    </row>
    <row r="221" spans="1:20" ht="16.5" x14ac:dyDescent="0.45">
      <c r="A221" s="129"/>
      <c r="B221" s="230" t="s">
        <v>365</v>
      </c>
      <c r="C221" s="481">
        <v>62</v>
      </c>
      <c r="D221" s="503">
        <v>77.36</v>
      </c>
      <c r="E221" s="457">
        <f>23/127*100</f>
        <v>18.110236220472441</v>
      </c>
      <c r="F221" s="457">
        <f>23/127*100</f>
        <v>18.110236220472441</v>
      </c>
      <c r="G221" s="453">
        <f>7/16*100</f>
        <v>43.75</v>
      </c>
      <c r="H221" s="773">
        <f>8/17*100</f>
        <v>47.058823529411761</v>
      </c>
      <c r="I221" s="453">
        <v>47</v>
      </c>
      <c r="J221" s="773">
        <v>200</v>
      </c>
      <c r="M221" s="9"/>
      <c r="N221" s="9"/>
      <c r="O221" s="9"/>
      <c r="P221" s="9"/>
      <c r="Q221" s="9"/>
      <c r="R221" s="9"/>
      <c r="S221" s="9"/>
      <c r="T221" s="9"/>
    </row>
    <row r="222" spans="1:20" ht="17" thickBot="1" x14ac:dyDescent="0.5">
      <c r="A222" s="129"/>
      <c r="B222" s="231" t="s">
        <v>366</v>
      </c>
      <c r="C222" s="482">
        <v>67</v>
      </c>
      <c r="D222" s="504">
        <v>74.260000000000005</v>
      </c>
      <c r="E222" s="458">
        <f>72/107*100</f>
        <v>67.289719626168221</v>
      </c>
      <c r="F222" s="458">
        <f>72/104*100</f>
        <v>69.230769230769226</v>
      </c>
      <c r="G222" s="455">
        <f>47/62*100</f>
        <v>75.806451612903231</v>
      </c>
      <c r="H222" s="774">
        <f>50/65*100</f>
        <v>76.923076923076934</v>
      </c>
      <c r="I222" s="455">
        <v>100</v>
      </c>
      <c r="J222" s="774">
        <v>14.12</v>
      </c>
      <c r="M222" s="9"/>
      <c r="N222" s="9"/>
      <c r="O222" s="9"/>
      <c r="P222" s="9"/>
      <c r="Q222" s="9"/>
      <c r="R222" s="9"/>
      <c r="S222" s="9"/>
      <c r="T222" s="9"/>
    </row>
    <row r="223" spans="1:20" ht="17.5" x14ac:dyDescent="0.45">
      <c r="A223" s="129"/>
      <c r="B223" s="111"/>
      <c r="C223" s="130"/>
      <c r="D223" s="107"/>
      <c r="E223" s="107"/>
      <c r="F223" s="107"/>
      <c r="G223" s="107"/>
      <c r="H223" s="107"/>
      <c r="I223" s="107"/>
      <c r="J223" s="9"/>
      <c r="K223" s="9"/>
      <c r="L223" s="9"/>
      <c r="N223" s="9"/>
      <c r="O223" s="9"/>
      <c r="P223" s="9"/>
      <c r="Q223" s="9"/>
      <c r="R223" s="9"/>
    </row>
    <row r="224" spans="1:20" s="606" customFormat="1" ht="17.5" x14ac:dyDescent="0.45">
      <c r="B224" s="630" t="s">
        <v>398</v>
      </c>
      <c r="C224" s="630"/>
      <c r="D224" s="629"/>
      <c r="E224" s="629"/>
      <c r="F224" s="629"/>
      <c r="G224" s="629"/>
      <c r="H224" s="629"/>
      <c r="I224" s="629"/>
      <c r="K224" s="629"/>
    </row>
    <row r="225" spans="1:20" ht="5.5" customHeight="1" thickBot="1" x14ac:dyDescent="0.5">
      <c r="A225" s="9"/>
      <c r="B225" s="111"/>
      <c r="C225" s="111"/>
      <c r="D225" s="107"/>
      <c r="E225" s="107"/>
      <c r="F225" s="107"/>
      <c r="G225" s="107"/>
      <c r="H225" s="107"/>
      <c r="I225" s="107"/>
      <c r="J225" s="9"/>
      <c r="K225" s="9"/>
      <c r="L225" s="9"/>
      <c r="N225" s="9"/>
      <c r="O225" s="9"/>
      <c r="P225" s="9"/>
      <c r="Q225" s="9"/>
      <c r="R225" s="9"/>
    </row>
    <row r="226" spans="1:20" ht="32" x14ac:dyDescent="0.45">
      <c r="A226" s="9"/>
      <c r="B226" s="883" t="s">
        <v>368</v>
      </c>
      <c r="C226" s="636" t="s">
        <v>43</v>
      </c>
      <c r="D226" s="637" t="s">
        <v>44</v>
      </c>
      <c r="E226" s="883" t="s">
        <v>45</v>
      </c>
      <c r="F226" s="883" t="s">
        <v>46</v>
      </c>
      <c r="G226" s="883" t="s">
        <v>47</v>
      </c>
      <c r="H226" s="883" t="s">
        <v>48</v>
      </c>
      <c r="I226" s="883" t="s">
        <v>49</v>
      </c>
      <c r="J226" s="883" t="s">
        <v>50</v>
      </c>
      <c r="K226" s="107"/>
      <c r="L226" s="9"/>
      <c r="P226" s="9"/>
      <c r="Q226" s="9"/>
      <c r="R226" s="9"/>
      <c r="S226" s="9"/>
      <c r="T226" s="9"/>
    </row>
    <row r="227" spans="1:20" ht="17.5" x14ac:dyDescent="0.45">
      <c r="A227" s="9"/>
      <c r="B227" s="214" t="s">
        <v>80</v>
      </c>
      <c r="C227" s="822">
        <v>0.82169999999999999</v>
      </c>
      <c r="D227" s="823">
        <v>0.96</v>
      </c>
      <c r="E227" s="824">
        <f>95/11744*100</f>
        <v>0.80892370572207084</v>
      </c>
      <c r="F227" s="824">
        <f>95/11744*100</f>
        <v>0.80892370572207084</v>
      </c>
      <c r="G227" s="825">
        <f>54/10821*100</f>
        <v>0.49902966454116998</v>
      </c>
      <c r="H227" s="826">
        <f>58/11922*100</f>
        <v>0.48649555443717496</v>
      </c>
      <c r="I227" s="827">
        <f>21/13797*100</f>
        <v>0.15220700152207001</v>
      </c>
      <c r="J227" s="827">
        <f>(46/14496)*100</f>
        <v>0.31732891832229582</v>
      </c>
      <c r="K227" s="107"/>
      <c r="L227" s="9"/>
      <c r="P227" s="9"/>
      <c r="Q227" s="9"/>
      <c r="R227" s="9"/>
      <c r="S227" s="9"/>
      <c r="T227" s="9"/>
    </row>
    <row r="228" spans="1:20" ht="17.5" x14ac:dyDescent="0.45">
      <c r="A228" s="9"/>
      <c r="B228" s="262" t="s">
        <v>365</v>
      </c>
      <c r="C228" s="828">
        <v>0.84930000000000005</v>
      </c>
      <c r="D228" s="829">
        <v>0.44</v>
      </c>
      <c r="E228" s="830">
        <f>23/9054*100</f>
        <v>0.25403136735144688</v>
      </c>
      <c r="F228" s="830">
        <f>23/9054*100</f>
        <v>0.25403136735144688</v>
      </c>
      <c r="G228" s="831">
        <f>7/8395*100</f>
        <v>8.3382966051220961E-2</v>
      </c>
      <c r="H228" s="832">
        <f>8/9183*100</f>
        <v>8.7117499727757813E-2</v>
      </c>
      <c r="I228" s="833">
        <f>3/11000*100</f>
        <v>2.7272727272727275E-2</v>
      </c>
      <c r="J228" s="833">
        <f>(34/12021)*100</f>
        <v>0.28283836619249647</v>
      </c>
      <c r="K228" s="107"/>
      <c r="L228" s="9"/>
      <c r="P228" s="9"/>
      <c r="Q228" s="9"/>
      <c r="R228" s="9"/>
      <c r="S228" s="9"/>
      <c r="T228" s="9"/>
    </row>
    <row r="229" spans="1:20" ht="17.5" x14ac:dyDescent="0.45">
      <c r="A229" s="9"/>
      <c r="B229" s="231" t="s">
        <v>366</v>
      </c>
      <c r="C229" s="834">
        <v>0.79759999999999998</v>
      </c>
      <c r="D229" s="835">
        <v>2.79</v>
      </c>
      <c r="E229" s="836">
        <f>72/2690*100</f>
        <v>2.6765799256505578</v>
      </c>
      <c r="F229" s="836">
        <f>72/2690*100</f>
        <v>2.6765799256505578</v>
      </c>
      <c r="G229" s="837">
        <f>47/2426*100</f>
        <v>1.9373454245671888</v>
      </c>
      <c r="H229" s="838">
        <f>50/2739*100</f>
        <v>1.8254837531945967</v>
      </c>
      <c r="I229" s="839">
        <f>0.00643546657132642*100</f>
        <v>0.64354665713264203</v>
      </c>
      <c r="J229" s="839">
        <f>(12/2966)*100</f>
        <v>0.40458530006743088</v>
      </c>
      <c r="K229" s="107"/>
      <c r="L229" s="9"/>
      <c r="P229" s="9"/>
      <c r="Q229" s="9"/>
      <c r="R229" s="9"/>
      <c r="S229" s="9"/>
      <c r="T229" s="9"/>
    </row>
    <row r="230" spans="1:20" ht="17.5" x14ac:dyDescent="0.45">
      <c r="A230" s="9"/>
      <c r="B230" s="111"/>
      <c r="C230" s="111"/>
      <c r="D230" s="107"/>
      <c r="E230" s="107"/>
      <c r="F230" s="107"/>
      <c r="G230" s="107"/>
      <c r="H230" s="107"/>
      <c r="I230" s="107"/>
      <c r="J230" s="9"/>
      <c r="N230" s="9"/>
      <c r="O230" s="9"/>
      <c r="P230" s="9"/>
      <c r="Q230" s="9"/>
      <c r="R230" s="9"/>
    </row>
    <row r="231" spans="1:20" s="606" customFormat="1" ht="17.5" x14ac:dyDescent="0.45">
      <c r="B231" s="630" t="s">
        <v>241</v>
      </c>
      <c r="C231" s="630"/>
      <c r="D231" s="629"/>
      <c r="E231" s="629"/>
      <c r="F231" s="629"/>
      <c r="G231" s="629"/>
      <c r="H231" s="629"/>
      <c r="I231" s="629"/>
      <c r="K231" s="629"/>
    </row>
    <row r="232" spans="1:20" ht="5.5" customHeight="1" thickBot="1" x14ac:dyDescent="0.5">
      <c r="A232" s="9"/>
      <c r="B232" s="111"/>
      <c r="C232" s="111"/>
      <c r="D232" s="107"/>
      <c r="E232" s="107"/>
      <c r="F232" s="107"/>
      <c r="G232" s="107"/>
      <c r="H232" s="107"/>
      <c r="I232" s="107"/>
      <c r="J232" s="9"/>
      <c r="K232" s="9"/>
      <c r="L232" s="9"/>
      <c r="N232" s="9"/>
      <c r="O232" s="9"/>
      <c r="P232" s="9"/>
      <c r="Q232" s="9"/>
      <c r="R232" s="9"/>
    </row>
    <row r="233" spans="1:20" ht="32" x14ac:dyDescent="0.35">
      <c r="A233" s="9"/>
      <c r="B233" s="883" t="s">
        <v>57</v>
      </c>
      <c r="C233" s="646" t="s">
        <v>43</v>
      </c>
      <c r="D233" s="646" t="s">
        <v>44</v>
      </c>
      <c r="E233" s="883" t="s">
        <v>45</v>
      </c>
      <c r="F233" s="883" t="s">
        <v>46</v>
      </c>
      <c r="G233" s="883" t="s">
        <v>47</v>
      </c>
      <c r="H233" s="883" t="s">
        <v>48</v>
      </c>
      <c r="I233" s="635" t="s">
        <v>49</v>
      </c>
      <c r="J233" s="883" t="s">
        <v>57</v>
      </c>
      <c r="K233" s="883" t="s">
        <v>50</v>
      </c>
      <c r="L233" s="9"/>
      <c r="O233" s="9"/>
      <c r="P233" s="9"/>
      <c r="Q233" s="9"/>
      <c r="R233" s="9"/>
      <c r="S233" s="9"/>
      <c r="T233" s="9"/>
    </row>
    <row r="234" spans="1:20" ht="16.5" x14ac:dyDescent="0.45">
      <c r="A234" s="9"/>
      <c r="B234" s="214" t="s">
        <v>80</v>
      </c>
      <c r="C234" s="508">
        <v>19.48</v>
      </c>
      <c r="D234" s="508">
        <v>19.09</v>
      </c>
      <c r="E234" s="324">
        <v>21.3</v>
      </c>
      <c r="F234" s="324">
        <v>21.3</v>
      </c>
      <c r="G234" s="324">
        <v>16.7</v>
      </c>
      <c r="H234" s="263">
        <v>17.5</v>
      </c>
      <c r="I234" s="269">
        <v>32.299999999999997</v>
      </c>
      <c r="J234" s="214" t="s">
        <v>80</v>
      </c>
      <c r="K234" s="266">
        <v>31.6</v>
      </c>
      <c r="L234" s="9"/>
      <c r="O234" s="9"/>
      <c r="P234" s="9"/>
      <c r="Q234" s="9"/>
      <c r="R234" s="9"/>
      <c r="S234" s="9"/>
      <c r="T234" s="9"/>
    </row>
    <row r="235" spans="1:20" ht="16.5" x14ac:dyDescent="0.45">
      <c r="A235" s="9"/>
      <c r="B235" s="230" t="s">
        <v>51</v>
      </c>
      <c r="C235" s="505">
        <v>50.39</v>
      </c>
      <c r="D235" s="505">
        <v>39.26</v>
      </c>
      <c r="E235" s="322">
        <v>43.3</v>
      </c>
      <c r="F235" s="322">
        <v>43.3</v>
      </c>
      <c r="G235" s="322">
        <v>29.4</v>
      </c>
      <c r="H235" s="264">
        <v>29.4</v>
      </c>
      <c r="I235" s="270">
        <v>63.5</v>
      </c>
      <c r="J235" s="230" t="s">
        <v>51</v>
      </c>
      <c r="K235" s="267">
        <v>64.5</v>
      </c>
      <c r="L235" s="9"/>
      <c r="O235" s="9"/>
      <c r="P235" s="9"/>
      <c r="Q235" s="9"/>
      <c r="R235" s="9"/>
      <c r="S235" s="9"/>
      <c r="T235" s="9"/>
    </row>
    <row r="236" spans="1:20" ht="16.5" x14ac:dyDescent="0.45">
      <c r="A236" s="9"/>
      <c r="B236" s="230" t="s">
        <v>52</v>
      </c>
      <c r="C236" s="505">
        <v>11.85</v>
      </c>
      <c r="D236" s="505">
        <v>6.21</v>
      </c>
      <c r="E236" s="322">
        <v>7.8</v>
      </c>
      <c r="F236" s="322">
        <v>7.8</v>
      </c>
      <c r="G236" s="322">
        <v>8.6</v>
      </c>
      <c r="H236" s="264">
        <v>8.6</v>
      </c>
      <c r="I236" s="270">
        <v>7.2</v>
      </c>
      <c r="J236" s="230" t="s">
        <v>52</v>
      </c>
      <c r="K236" s="267">
        <v>6.9</v>
      </c>
      <c r="L236" s="9"/>
      <c r="O236" s="9"/>
      <c r="P236" s="9"/>
      <c r="Q236" s="9"/>
      <c r="R236" s="9"/>
      <c r="S236" s="9"/>
      <c r="T236" s="9"/>
    </row>
    <row r="237" spans="1:20" ht="16.5" x14ac:dyDescent="0.45">
      <c r="A237" s="9"/>
      <c r="B237" s="230" t="s">
        <v>53</v>
      </c>
      <c r="C237" s="505">
        <v>13.94</v>
      </c>
      <c r="D237" s="505">
        <v>9.81</v>
      </c>
      <c r="E237" s="322">
        <v>13.6</v>
      </c>
      <c r="F237" s="322">
        <v>13.6</v>
      </c>
      <c r="G237" s="322">
        <v>16.3</v>
      </c>
      <c r="H237" s="264">
        <v>16.3</v>
      </c>
      <c r="I237" s="270">
        <v>14.2</v>
      </c>
      <c r="J237" s="230" t="s">
        <v>53</v>
      </c>
      <c r="K237" s="267">
        <v>11.6</v>
      </c>
      <c r="L237" s="9"/>
      <c r="O237" s="9"/>
      <c r="P237" s="9"/>
      <c r="Q237" s="9"/>
      <c r="R237" s="9"/>
      <c r="S237" s="9"/>
      <c r="T237" s="9"/>
    </row>
    <row r="238" spans="1:20" ht="16.5" x14ac:dyDescent="0.45">
      <c r="A238" s="9"/>
      <c r="B238" s="230" t="s">
        <v>76</v>
      </c>
      <c r="C238" s="506" t="s">
        <v>89</v>
      </c>
      <c r="D238" s="506" t="s">
        <v>89</v>
      </c>
      <c r="E238" s="386" t="s">
        <v>89</v>
      </c>
      <c r="F238" s="322">
        <v>17.8</v>
      </c>
      <c r="G238" s="386" t="s">
        <v>89</v>
      </c>
      <c r="H238" s="264">
        <v>26.7</v>
      </c>
      <c r="I238" s="270">
        <v>11.2</v>
      </c>
      <c r="J238" s="230" t="s">
        <v>76</v>
      </c>
      <c r="K238" s="267">
        <v>15.4</v>
      </c>
      <c r="L238" s="9"/>
      <c r="O238" s="9"/>
      <c r="P238" s="9"/>
      <c r="Q238" s="9"/>
      <c r="R238" s="9"/>
      <c r="S238" s="9"/>
      <c r="T238" s="9"/>
    </row>
    <row r="239" spans="1:20" ht="17" thickBot="1" x14ac:dyDescent="0.5">
      <c r="A239" s="9"/>
      <c r="B239" s="718" t="s">
        <v>399</v>
      </c>
      <c r="C239" s="507">
        <v>6.21</v>
      </c>
      <c r="D239" s="507">
        <v>9.35</v>
      </c>
      <c r="E239" s="323">
        <v>10.9</v>
      </c>
      <c r="F239" s="323">
        <v>10.9</v>
      </c>
      <c r="G239" s="323">
        <v>13.6</v>
      </c>
      <c r="H239" s="265">
        <v>13.6</v>
      </c>
      <c r="I239" s="271">
        <v>32.299999999999997</v>
      </c>
      <c r="J239" s="230" t="s">
        <v>82</v>
      </c>
      <c r="K239" s="267">
        <v>13.5</v>
      </c>
      <c r="L239" s="9"/>
      <c r="O239" s="9"/>
      <c r="P239" s="9"/>
      <c r="Q239" s="9"/>
      <c r="R239" s="9"/>
      <c r="S239" s="9"/>
      <c r="T239" s="9"/>
    </row>
    <row r="240" spans="1:20" ht="18" thickBot="1" x14ac:dyDescent="0.5">
      <c r="A240" s="9"/>
      <c r="B240" s="107"/>
      <c r="D240" s="107"/>
      <c r="H240" s="9"/>
      <c r="I240" s="107"/>
      <c r="J240" s="231" t="s">
        <v>92</v>
      </c>
      <c r="K240" s="268">
        <v>10.6</v>
      </c>
      <c r="L240" s="9"/>
      <c r="O240" s="9"/>
      <c r="P240" s="9"/>
      <c r="Q240" s="9"/>
      <c r="R240" s="9"/>
      <c r="S240" s="9"/>
      <c r="T240" s="9"/>
    </row>
    <row r="241" spans="1:20" ht="17.5" x14ac:dyDescent="0.45">
      <c r="A241" s="9"/>
      <c r="B241" s="111"/>
      <c r="C241" s="9"/>
      <c r="D241" s="107"/>
      <c r="E241" s="107"/>
      <c r="F241" s="107"/>
      <c r="G241" s="115"/>
      <c r="H241" s="107"/>
      <c r="I241" s="107"/>
      <c r="J241" s="9"/>
      <c r="N241" s="9"/>
      <c r="O241" s="9"/>
      <c r="P241" s="9"/>
      <c r="Q241" s="9"/>
      <c r="R241" s="9"/>
    </row>
    <row r="242" spans="1:20" s="606" customFormat="1" ht="17.5" x14ac:dyDescent="0.45">
      <c r="B242" s="630" t="s">
        <v>243</v>
      </c>
      <c r="C242" s="630"/>
      <c r="D242" s="629"/>
      <c r="E242" s="629"/>
      <c r="F242" s="629"/>
      <c r="G242" s="629"/>
      <c r="H242" s="629"/>
      <c r="I242" s="629"/>
      <c r="K242" s="629"/>
    </row>
    <row r="243" spans="1:20" ht="5.5" customHeight="1" thickBot="1" x14ac:dyDescent="0.5">
      <c r="A243" s="9"/>
      <c r="B243" s="111"/>
      <c r="C243" s="111"/>
      <c r="D243" s="107"/>
      <c r="E243" s="107"/>
      <c r="F243" s="107"/>
      <c r="G243" s="107"/>
      <c r="H243" s="107"/>
      <c r="I243" s="107"/>
      <c r="J243" s="9"/>
      <c r="K243" s="9"/>
      <c r="L243" s="9"/>
      <c r="N243" s="9"/>
      <c r="O243" s="9"/>
      <c r="P243" s="9"/>
      <c r="Q243" s="9"/>
      <c r="R243" s="9"/>
    </row>
    <row r="244" spans="1:20" ht="32" x14ac:dyDescent="0.35">
      <c r="A244" s="9"/>
      <c r="B244" s="883" t="s">
        <v>57</v>
      </c>
      <c r="C244" s="636" t="s">
        <v>43</v>
      </c>
      <c r="D244" s="636" t="s">
        <v>44</v>
      </c>
      <c r="E244" s="883" t="s">
        <v>45</v>
      </c>
      <c r="F244" s="883" t="s">
        <v>46</v>
      </c>
      <c r="G244" s="883" t="s">
        <v>47</v>
      </c>
      <c r="H244" s="883" t="s">
        <v>48</v>
      </c>
      <c r="I244" s="635" t="s">
        <v>49</v>
      </c>
      <c r="J244" s="883" t="s">
        <v>57</v>
      </c>
      <c r="K244" s="883" t="s">
        <v>50</v>
      </c>
      <c r="L244" s="120"/>
      <c r="P244" s="9"/>
      <c r="Q244" s="9"/>
      <c r="R244" s="9"/>
      <c r="S244" s="9"/>
      <c r="T244" s="9"/>
    </row>
    <row r="245" spans="1:20" ht="16.5" x14ac:dyDescent="0.45">
      <c r="A245" s="9"/>
      <c r="B245" s="214" t="s">
        <v>80</v>
      </c>
      <c r="C245" s="509">
        <v>3693</v>
      </c>
      <c r="D245" s="509">
        <v>4131</v>
      </c>
      <c r="E245" s="310">
        <v>4465</v>
      </c>
      <c r="F245" s="310">
        <v>4751</v>
      </c>
      <c r="G245" s="310">
        <f>H245-H249</f>
        <v>3485</v>
      </c>
      <c r="H245" s="232">
        <v>3828</v>
      </c>
      <c r="I245" s="281">
        <v>6388</v>
      </c>
      <c r="J245" s="214" t="s">
        <v>80</v>
      </c>
      <c r="K245" s="217">
        <v>8227</v>
      </c>
      <c r="L245" s="117"/>
      <c r="P245" s="9"/>
      <c r="Q245" s="9"/>
      <c r="R245" s="9"/>
      <c r="S245" s="9"/>
      <c r="T245" s="9"/>
    </row>
    <row r="246" spans="1:20" ht="16.5" x14ac:dyDescent="0.45">
      <c r="A246" s="9"/>
      <c r="B246" s="230" t="s">
        <v>51</v>
      </c>
      <c r="C246" s="510">
        <v>2550</v>
      </c>
      <c r="D246" s="510">
        <v>2976</v>
      </c>
      <c r="E246" s="311">
        <v>2524</v>
      </c>
      <c r="F246" s="311">
        <v>2766</v>
      </c>
      <c r="G246" s="311">
        <v>2293</v>
      </c>
      <c r="H246" s="233">
        <v>2293</v>
      </c>
      <c r="I246" s="282">
        <v>4701</v>
      </c>
      <c r="J246" s="230" t="s">
        <v>51</v>
      </c>
      <c r="K246" s="211">
        <v>6151</v>
      </c>
      <c r="L246" s="118"/>
      <c r="P246" s="9"/>
      <c r="Q246" s="9"/>
      <c r="R246" s="9"/>
      <c r="S246" s="9"/>
      <c r="T246" s="9"/>
    </row>
    <row r="247" spans="1:20" ht="16.5" x14ac:dyDescent="0.45">
      <c r="A247" s="9"/>
      <c r="B247" s="230" t="s">
        <v>52</v>
      </c>
      <c r="C247" s="511">
        <v>730</v>
      </c>
      <c r="D247" s="511">
        <v>857</v>
      </c>
      <c r="E247" s="311">
        <v>1323</v>
      </c>
      <c r="F247" s="311">
        <v>1323</v>
      </c>
      <c r="G247" s="311">
        <v>852</v>
      </c>
      <c r="H247" s="233">
        <v>852</v>
      </c>
      <c r="I247" s="282">
        <v>709</v>
      </c>
      <c r="J247" s="230" t="s">
        <v>52</v>
      </c>
      <c r="K247" s="211">
        <v>1007</v>
      </c>
      <c r="L247" s="118"/>
      <c r="P247" s="9"/>
      <c r="Q247" s="9"/>
      <c r="R247" s="9"/>
      <c r="S247" s="9"/>
      <c r="T247" s="9"/>
    </row>
    <row r="248" spans="1:20" ht="16.5" x14ac:dyDescent="0.45">
      <c r="A248" s="9"/>
      <c r="B248" s="230" t="s">
        <v>53</v>
      </c>
      <c r="C248" s="511">
        <v>331</v>
      </c>
      <c r="D248" s="511">
        <v>219</v>
      </c>
      <c r="E248" s="311">
        <v>240</v>
      </c>
      <c r="F248" s="311">
        <v>240</v>
      </c>
      <c r="G248" s="311">
        <v>232</v>
      </c>
      <c r="H248" s="233">
        <v>232</v>
      </c>
      <c r="I248" s="282">
        <v>261</v>
      </c>
      <c r="J248" s="230" t="s">
        <v>53</v>
      </c>
      <c r="K248" s="211">
        <v>336</v>
      </c>
      <c r="L248" s="118"/>
      <c r="P248" s="9"/>
      <c r="Q248" s="9"/>
      <c r="R248" s="9"/>
      <c r="S248" s="9"/>
      <c r="T248" s="9"/>
    </row>
    <row r="249" spans="1:20" ht="16.5" x14ac:dyDescent="0.45">
      <c r="A249" s="9"/>
      <c r="B249" s="230" t="s">
        <v>76</v>
      </c>
      <c r="C249" s="481" t="s">
        <v>89</v>
      </c>
      <c r="D249" s="481" t="s">
        <v>89</v>
      </c>
      <c r="E249" s="386" t="s">
        <v>89</v>
      </c>
      <c r="F249" s="311">
        <v>286</v>
      </c>
      <c r="G249" s="386" t="s">
        <v>89</v>
      </c>
      <c r="H249" s="233">
        <v>343</v>
      </c>
      <c r="I249" s="282">
        <v>421</v>
      </c>
      <c r="J249" s="230" t="s">
        <v>76</v>
      </c>
      <c r="K249" s="211">
        <v>249</v>
      </c>
      <c r="L249" s="118"/>
      <c r="P249" s="9"/>
      <c r="Q249" s="9"/>
      <c r="R249" s="9"/>
      <c r="S249" s="9"/>
      <c r="T249" s="9"/>
    </row>
    <row r="250" spans="1:20" ht="16.5" x14ac:dyDescent="0.45">
      <c r="A250" s="9"/>
      <c r="B250" s="231" t="s">
        <v>92</v>
      </c>
      <c r="C250" s="670">
        <v>82</v>
      </c>
      <c r="D250" s="231">
        <v>79</v>
      </c>
      <c r="E250" s="312">
        <v>136</v>
      </c>
      <c r="F250" s="312">
        <v>136</v>
      </c>
      <c r="G250" s="312">
        <v>108</v>
      </c>
      <c r="H250" s="234">
        <v>108</v>
      </c>
      <c r="I250" s="283">
        <v>296</v>
      </c>
      <c r="J250" s="230" t="s">
        <v>82</v>
      </c>
      <c r="K250" s="211">
        <v>333</v>
      </c>
      <c r="L250" s="118"/>
      <c r="P250" s="9"/>
      <c r="Q250" s="9"/>
      <c r="R250" s="9"/>
      <c r="S250" s="9"/>
      <c r="T250" s="9"/>
    </row>
    <row r="251" spans="1:20" ht="18" thickBot="1" x14ac:dyDescent="0.5">
      <c r="A251" s="9"/>
      <c r="B251" s="107"/>
      <c r="D251" s="107"/>
      <c r="H251" s="9"/>
      <c r="I251" s="107"/>
      <c r="J251" s="231" t="s">
        <v>92</v>
      </c>
      <c r="K251" s="229">
        <v>151</v>
      </c>
      <c r="L251" s="118"/>
      <c r="P251" s="9"/>
      <c r="Q251" s="9"/>
      <c r="R251" s="9"/>
      <c r="S251" s="9"/>
      <c r="T251" s="9"/>
    </row>
    <row r="252" spans="1:20" ht="17.5" x14ac:dyDescent="0.45">
      <c r="A252" s="9"/>
      <c r="B252" s="107"/>
      <c r="C252" s="107"/>
      <c r="D252" s="115"/>
      <c r="E252" s="116"/>
      <c r="F252" s="119"/>
      <c r="G252" s="119"/>
      <c r="H252" s="119"/>
      <c r="I252" s="107"/>
      <c r="J252" s="9"/>
      <c r="N252" s="9"/>
      <c r="O252" s="9"/>
      <c r="P252" s="9"/>
      <c r="Q252" s="9"/>
      <c r="R252" s="9"/>
    </row>
    <row r="253" spans="1:20" s="606" customFormat="1" ht="17.5" x14ac:dyDescent="0.45">
      <c r="B253" s="630" t="s">
        <v>245</v>
      </c>
      <c r="C253" s="630"/>
      <c r="D253" s="629"/>
      <c r="E253" s="629"/>
      <c r="F253" s="629"/>
      <c r="G253" s="629"/>
      <c r="H253" s="629"/>
      <c r="I253" s="629"/>
      <c r="K253" s="629"/>
    </row>
    <row r="254" spans="1:20" ht="5.5" customHeight="1" thickBot="1" x14ac:dyDescent="0.5">
      <c r="A254" s="9"/>
      <c r="B254" s="111"/>
      <c r="C254" s="111"/>
      <c r="D254" s="107"/>
      <c r="E254" s="107"/>
      <c r="F254" s="107"/>
      <c r="G254" s="107"/>
      <c r="H254" s="107"/>
      <c r="I254" s="107"/>
      <c r="J254" s="9"/>
      <c r="K254" s="9"/>
      <c r="L254" s="9"/>
      <c r="N254" s="9"/>
      <c r="O254" s="9"/>
      <c r="P254" s="9"/>
      <c r="Q254" s="9"/>
      <c r="R254" s="9"/>
    </row>
    <row r="255" spans="1:20" ht="32" x14ac:dyDescent="0.45">
      <c r="A255" s="9"/>
      <c r="B255" s="883" t="s">
        <v>368</v>
      </c>
      <c r="C255" s="636" t="s">
        <v>43</v>
      </c>
      <c r="D255" s="636" t="s">
        <v>44</v>
      </c>
      <c r="E255" s="883" t="s">
        <v>45</v>
      </c>
      <c r="F255" s="883" t="s">
        <v>46</v>
      </c>
      <c r="G255" s="883" t="s">
        <v>47</v>
      </c>
      <c r="H255" s="883" t="s">
        <v>48</v>
      </c>
      <c r="I255" s="883" t="s">
        <v>49</v>
      </c>
      <c r="J255" s="883" t="s">
        <v>50</v>
      </c>
      <c r="K255" s="107"/>
      <c r="L255" s="9"/>
      <c r="M255" s="9"/>
      <c r="N255" s="9"/>
      <c r="O255" s="9"/>
      <c r="P255" s="9"/>
      <c r="Q255" s="9"/>
      <c r="R255" s="9"/>
      <c r="S255" s="9"/>
      <c r="T255" s="9"/>
    </row>
    <row r="256" spans="1:20" ht="17.5" x14ac:dyDescent="0.45">
      <c r="A256" s="9"/>
      <c r="B256" s="262" t="s">
        <v>365</v>
      </c>
      <c r="C256" s="513">
        <v>0.87519999999999998</v>
      </c>
      <c r="D256" s="513">
        <v>0.86</v>
      </c>
      <c r="E256" s="335">
        <v>0.82099999999999995</v>
      </c>
      <c r="F256" s="335">
        <v>0.81399999999999995</v>
      </c>
      <c r="G256" s="335">
        <v>0.82499999999999996</v>
      </c>
      <c r="H256" s="335">
        <v>0.81200000000000006</v>
      </c>
      <c r="I256" s="337">
        <v>0.89214151534126485</v>
      </c>
      <c r="J256" s="337">
        <v>0.90500000000000003</v>
      </c>
      <c r="K256" s="107"/>
      <c r="L256" s="9"/>
      <c r="M256" s="9"/>
      <c r="N256" s="9"/>
      <c r="O256" s="9"/>
      <c r="P256" s="9"/>
      <c r="Q256" s="9"/>
      <c r="R256" s="9"/>
      <c r="S256" s="9"/>
      <c r="T256" s="9"/>
    </row>
    <row r="257" spans="1:20" ht="18" thickBot="1" x14ac:dyDescent="0.5">
      <c r="A257" s="9"/>
      <c r="B257" s="230" t="s">
        <v>366</v>
      </c>
      <c r="C257" s="513">
        <v>0.12479999999999999</v>
      </c>
      <c r="D257" s="513">
        <v>0.13700000000000001</v>
      </c>
      <c r="E257" s="336">
        <v>0.17899999999999999</v>
      </c>
      <c r="F257" s="336">
        <v>0.186</v>
      </c>
      <c r="G257" s="336">
        <v>0.17499999999999999</v>
      </c>
      <c r="H257" s="336">
        <v>0.188</v>
      </c>
      <c r="I257" s="338">
        <v>0.10785848465873513</v>
      </c>
      <c r="J257" s="340">
        <v>9.5000000000000001E-2</v>
      </c>
      <c r="K257" s="107"/>
      <c r="L257" s="9"/>
      <c r="M257" s="9"/>
      <c r="N257" s="9"/>
      <c r="O257" s="9"/>
      <c r="P257" s="9"/>
      <c r="Q257" s="9"/>
      <c r="R257" s="9"/>
      <c r="S257" s="9"/>
      <c r="T257" s="9"/>
    </row>
    <row r="258" spans="1:20" ht="18" thickBot="1" x14ac:dyDescent="0.5">
      <c r="A258" s="9"/>
      <c r="B258" s="231" t="s">
        <v>400</v>
      </c>
      <c r="C258" s="514">
        <v>0</v>
      </c>
      <c r="D258" s="514">
        <v>3.0000000000000001E-3</v>
      </c>
      <c r="E258" s="512"/>
      <c r="F258" s="512"/>
      <c r="G258" s="512"/>
      <c r="H258" s="512"/>
      <c r="I258" s="775"/>
      <c r="J258" s="776"/>
      <c r="K258" s="107"/>
      <c r="L258" s="9"/>
      <c r="M258" s="9"/>
      <c r="N258" s="9"/>
      <c r="O258" s="9"/>
      <c r="P258" s="9"/>
      <c r="Q258" s="9"/>
      <c r="R258" s="9"/>
      <c r="S258" s="9"/>
      <c r="T258" s="9"/>
    </row>
    <row r="259" spans="1:20" ht="17.5" x14ac:dyDescent="0.45">
      <c r="A259" s="9"/>
      <c r="B259" s="111"/>
      <c r="C259" s="111"/>
      <c r="D259" s="107"/>
      <c r="E259" s="107"/>
      <c r="F259" s="107"/>
      <c r="G259" s="107"/>
      <c r="H259" s="107"/>
      <c r="I259" s="107"/>
      <c r="J259" s="9"/>
      <c r="K259" s="9"/>
      <c r="L259" s="9"/>
      <c r="M259" s="9"/>
      <c r="N259" s="9"/>
      <c r="O259" s="9"/>
      <c r="P259" s="9"/>
      <c r="Q259" s="9"/>
      <c r="R259" s="9"/>
    </row>
    <row r="260" spans="1:20" s="606" customFormat="1" ht="17.5" x14ac:dyDescent="0.45">
      <c r="B260" s="630" t="s">
        <v>247</v>
      </c>
      <c r="C260" s="630"/>
      <c r="D260" s="629"/>
      <c r="E260" s="629"/>
      <c r="F260" s="629"/>
      <c r="G260" s="629"/>
      <c r="H260" s="629"/>
      <c r="I260" s="629"/>
      <c r="K260" s="629"/>
    </row>
    <row r="261" spans="1:20" ht="5.5" customHeight="1" thickBot="1" x14ac:dyDescent="0.5">
      <c r="A261" s="9"/>
      <c r="B261" s="111"/>
      <c r="C261" s="111"/>
      <c r="D261" s="107"/>
      <c r="E261" s="107"/>
      <c r="F261" s="107"/>
      <c r="G261" s="107"/>
      <c r="H261" s="107"/>
      <c r="I261" s="107"/>
      <c r="J261" s="9"/>
      <c r="K261" s="9"/>
      <c r="L261" s="9"/>
      <c r="N261" s="9"/>
      <c r="O261" s="9"/>
      <c r="P261" s="9"/>
      <c r="Q261" s="9"/>
      <c r="R261" s="9"/>
    </row>
    <row r="262" spans="1:20" ht="32" x14ac:dyDescent="0.35">
      <c r="A262" s="9"/>
      <c r="B262" s="883" t="s">
        <v>56</v>
      </c>
      <c r="C262" s="636" t="s">
        <v>43</v>
      </c>
      <c r="D262" s="636" t="s">
        <v>44</v>
      </c>
      <c r="E262" s="883" t="s">
        <v>45</v>
      </c>
      <c r="F262" s="883" t="s">
        <v>46</v>
      </c>
      <c r="G262" s="883" t="s">
        <v>47</v>
      </c>
      <c r="H262" s="883" t="s">
        <v>48</v>
      </c>
      <c r="I262" s="883" t="s">
        <v>49</v>
      </c>
      <c r="J262" s="883" t="s">
        <v>50</v>
      </c>
      <c r="K262" s="9"/>
      <c r="L262" s="9"/>
      <c r="M262" s="9"/>
    </row>
    <row r="263" spans="1:20" ht="16" x14ac:dyDescent="0.35">
      <c r="A263" s="9"/>
      <c r="B263" s="272" t="s">
        <v>373</v>
      </c>
      <c r="C263" s="515">
        <v>0.46150000000000002</v>
      </c>
      <c r="D263" s="515">
        <v>0.43</v>
      </c>
      <c r="E263" s="337">
        <v>0.45300000000000001</v>
      </c>
      <c r="F263" s="337">
        <v>0.41699999999999998</v>
      </c>
      <c r="G263" s="337">
        <v>0.46500000000000002</v>
      </c>
      <c r="H263" s="337">
        <v>0.46800000000000003</v>
      </c>
      <c r="I263" s="337">
        <v>0.43706950532247962</v>
      </c>
      <c r="J263" s="337">
        <v>0.46899999999999997</v>
      </c>
      <c r="K263" s="9"/>
      <c r="L263" s="9"/>
    </row>
    <row r="264" spans="1:20" ht="16" x14ac:dyDescent="0.35">
      <c r="A264" s="9"/>
      <c r="B264" s="272" t="s">
        <v>374</v>
      </c>
      <c r="C264" s="515">
        <v>0.19389999999999999</v>
      </c>
      <c r="D264" s="515">
        <v>0.19400000000000001</v>
      </c>
      <c r="E264" s="337">
        <v>0.184</v>
      </c>
      <c r="F264" s="337">
        <v>0.191</v>
      </c>
      <c r="G264" s="337">
        <v>0.17499999999999999</v>
      </c>
      <c r="H264" s="337">
        <v>0.17399999999999999</v>
      </c>
      <c r="I264" s="337">
        <v>0.18237319974953037</v>
      </c>
      <c r="J264" s="337">
        <v>0.17499999999999999</v>
      </c>
      <c r="K264" s="9"/>
      <c r="L264" s="9"/>
    </row>
    <row r="265" spans="1:20" ht="16" x14ac:dyDescent="0.35">
      <c r="A265" s="9"/>
      <c r="B265" s="272" t="s">
        <v>375</v>
      </c>
      <c r="C265" s="515">
        <v>0.2155</v>
      </c>
      <c r="D265" s="515">
        <v>0.24299999999999999</v>
      </c>
      <c r="E265" s="337">
        <v>0.23200000000000001</v>
      </c>
      <c r="F265" s="337">
        <v>0.255</v>
      </c>
      <c r="G265" s="337">
        <v>0.224</v>
      </c>
      <c r="H265" s="337">
        <v>0.221</v>
      </c>
      <c r="I265" s="337">
        <v>0.22730118973074515</v>
      </c>
      <c r="J265" s="337">
        <v>0.219</v>
      </c>
      <c r="K265" s="9"/>
      <c r="L265" s="9"/>
    </row>
    <row r="266" spans="1:20" ht="16" x14ac:dyDescent="0.35">
      <c r="A266" s="9"/>
      <c r="B266" s="272" t="s">
        <v>376</v>
      </c>
      <c r="C266" s="515">
        <v>9.8799999999999999E-2</v>
      </c>
      <c r="D266" s="515">
        <v>9.8000000000000004E-2</v>
      </c>
      <c r="E266" s="337">
        <v>9.8000000000000004E-2</v>
      </c>
      <c r="F266" s="337">
        <v>0.105</v>
      </c>
      <c r="G266" s="337">
        <v>0.105</v>
      </c>
      <c r="H266" s="337">
        <v>0.106</v>
      </c>
      <c r="I266" s="337">
        <v>0.11693800876643706</v>
      </c>
      <c r="J266" s="337">
        <v>0.108</v>
      </c>
      <c r="K266" s="9"/>
      <c r="L266" s="9"/>
    </row>
    <row r="267" spans="1:20" ht="16" x14ac:dyDescent="0.35">
      <c r="A267" s="9"/>
      <c r="B267" s="272" t="s">
        <v>377</v>
      </c>
      <c r="C267" s="515">
        <v>2.81E-2</v>
      </c>
      <c r="D267" s="515">
        <v>3.3000000000000002E-2</v>
      </c>
      <c r="E267" s="337">
        <v>0.03</v>
      </c>
      <c r="F267" s="337">
        <v>2.8000000000000001E-2</v>
      </c>
      <c r="G267" s="337">
        <v>2.9000000000000001E-2</v>
      </c>
      <c r="H267" s="337">
        <v>0.03</v>
      </c>
      <c r="I267" s="337">
        <v>3.3656856606136508E-2</v>
      </c>
      <c r="J267" s="337">
        <v>2.7E-2</v>
      </c>
      <c r="K267" s="9"/>
      <c r="L267" s="9"/>
    </row>
    <row r="268" spans="1:20" ht="16" x14ac:dyDescent="0.35">
      <c r="A268" s="9"/>
      <c r="B268" s="273" t="s">
        <v>378</v>
      </c>
      <c r="C268" s="516">
        <v>2.2000000000000001E-3</v>
      </c>
      <c r="D268" s="516">
        <v>2E-3</v>
      </c>
      <c r="E268" s="338">
        <v>3.7999999999999999E-2</v>
      </c>
      <c r="F268" s="338">
        <v>4.2999999999999997E-2</v>
      </c>
      <c r="G268" s="338">
        <v>1E-3</v>
      </c>
      <c r="H268" s="338">
        <v>1E-3</v>
      </c>
      <c r="I268" s="338">
        <v>2.6612398246712585E-3</v>
      </c>
      <c r="J268" s="338">
        <v>2E-3</v>
      </c>
      <c r="K268" s="9"/>
      <c r="L268" s="9"/>
      <c r="M268" s="9"/>
    </row>
    <row r="269" spans="1:20" ht="17.5" x14ac:dyDescent="0.45">
      <c r="A269" s="9"/>
      <c r="B269" s="111"/>
      <c r="C269" s="111"/>
      <c r="D269" s="107"/>
      <c r="E269" s="107"/>
      <c r="F269" s="107"/>
      <c r="G269" s="107"/>
      <c r="H269" s="107"/>
      <c r="I269" s="107"/>
      <c r="J269" s="9"/>
      <c r="K269" s="9"/>
      <c r="L269" s="9"/>
      <c r="N269" s="9"/>
      <c r="O269" s="9"/>
      <c r="P269" s="9"/>
      <c r="Q269" s="9"/>
      <c r="R269" s="9"/>
    </row>
    <row r="270" spans="1:20" s="606" customFormat="1" ht="17.5" x14ac:dyDescent="0.45">
      <c r="B270" s="717" t="s">
        <v>249</v>
      </c>
      <c r="C270" s="630"/>
      <c r="D270" s="629"/>
      <c r="E270" s="629"/>
      <c r="F270" s="629"/>
      <c r="G270" s="629"/>
      <c r="H270" s="629"/>
      <c r="I270" s="629"/>
      <c r="K270" s="629"/>
    </row>
    <row r="271" spans="1:20" ht="5.5" customHeight="1" x14ac:dyDescent="0.45">
      <c r="A271" s="9"/>
      <c r="B271" s="111"/>
      <c r="C271" s="111"/>
      <c r="D271" s="107"/>
      <c r="E271" s="107"/>
      <c r="F271" s="107"/>
      <c r="G271" s="107"/>
      <c r="H271" s="107"/>
      <c r="I271" s="107"/>
      <c r="J271" s="9"/>
      <c r="K271" s="9"/>
      <c r="L271" s="9"/>
      <c r="N271" s="9"/>
      <c r="O271" s="9"/>
      <c r="P271" s="9"/>
      <c r="Q271" s="9"/>
      <c r="R271" s="9"/>
    </row>
    <row r="272" spans="1:20" ht="32" x14ac:dyDescent="0.35">
      <c r="A272" s="9"/>
      <c r="B272" s="946" t="s">
        <v>401</v>
      </c>
      <c r="C272" s="946"/>
      <c r="D272" s="680" t="s">
        <v>43</v>
      </c>
      <c r="E272" s="680" t="s">
        <v>44</v>
      </c>
      <c r="F272" s="681" t="s">
        <v>45</v>
      </c>
      <c r="G272" s="681" t="s">
        <v>46</v>
      </c>
      <c r="H272" s="681" t="s">
        <v>47</v>
      </c>
      <c r="I272" s="869" t="s">
        <v>402</v>
      </c>
      <c r="J272" s="885" t="s">
        <v>49</v>
      </c>
      <c r="K272" s="885" t="s">
        <v>50</v>
      </c>
      <c r="L272" s="9"/>
      <c r="P272" s="9"/>
      <c r="Q272" s="9"/>
      <c r="R272" s="9"/>
      <c r="S272" s="9"/>
      <c r="T272" s="9"/>
    </row>
    <row r="273" spans="1:20" ht="16" x14ac:dyDescent="0.35">
      <c r="A273" s="9"/>
      <c r="B273" s="947" t="s">
        <v>403</v>
      </c>
      <c r="C273" s="947"/>
      <c r="D273" s="697">
        <v>0.82</v>
      </c>
      <c r="E273" s="682">
        <v>0.84499999999999997</v>
      </c>
      <c r="F273" s="683">
        <v>0.83</v>
      </c>
      <c r="G273" s="683" t="s">
        <v>68</v>
      </c>
      <c r="H273" s="683" t="s">
        <v>68</v>
      </c>
      <c r="I273" s="684" t="s">
        <v>68</v>
      </c>
      <c r="J273" s="684">
        <v>0.92</v>
      </c>
      <c r="K273" s="684">
        <v>0.94</v>
      </c>
      <c r="L273" s="9"/>
      <c r="P273" s="9"/>
      <c r="Q273" s="9"/>
      <c r="R273" s="9"/>
      <c r="S273" s="9"/>
      <c r="T273" s="9"/>
    </row>
    <row r="274" spans="1:20" ht="17.5" x14ac:dyDescent="0.45">
      <c r="A274" s="9"/>
      <c r="B274" s="685"/>
      <c r="C274" s="685"/>
      <c r="D274" s="107"/>
      <c r="E274" s="686"/>
      <c r="F274" s="687"/>
      <c r="G274" s="687"/>
      <c r="H274" s="687"/>
      <c r="I274" s="688"/>
      <c r="J274" s="688"/>
      <c r="K274" s="688"/>
      <c r="L274" s="9"/>
      <c r="P274" s="9"/>
      <c r="Q274" s="9"/>
      <c r="R274" s="9"/>
      <c r="S274" s="9"/>
      <c r="T274" s="9"/>
    </row>
    <row r="275" spans="1:20" s="606" customFormat="1" ht="17.5" x14ac:dyDescent="0.45">
      <c r="B275" s="630" t="s">
        <v>404</v>
      </c>
      <c r="C275" s="630"/>
      <c r="D275" s="629"/>
      <c r="E275" s="629"/>
      <c r="F275" s="629"/>
      <c r="G275" s="629"/>
      <c r="H275" s="629"/>
      <c r="I275" s="629"/>
      <c r="K275" s="629"/>
    </row>
    <row r="276" spans="1:20" ht="5.5" customHeight="1" thickBot="1" x14ac:dyDescent="0.5">
      <c r="A276" s="9"/>
      <c r="B276" s="111"/>
      <c r="C276" s="111"/>
      <c r="D276" s="107"/>
      <c r="E276" s="107"/>
      <c r="F276" s="107"/>
      <c r="G276" s="107"/>
      <c r="H276" s="107"/>
      <c r="I276" s="107"/>
      <c r="J276" s="9"/>
      <c r="K276" s="9"/>
      <c r="L276" s="9"/>
      <c r="N276" s="9"/>
      <c r="O276" s="9"/>
      <c r="P276" s="9"/>
      <c r="Q276" s="9"/>
      <c r="R276" s="9"/>
    </row>
    <row r="277" spans="1:20" ht="32" x14ac:dyDescent="0.35">
      <c r="A277" s="9"/>
      <c r="B277" s="673" t="s">
        <v>405</v>
      </c>
      <c r="C277" s="634" t="s">
        <v>43</v>
      </c>
      <c r="D277" s="674" t="s">
        <v>44</v>
      </c>
      <c r="E277" s="883" t="s">
        <v>45</v>
      </c>
      <c r="F277" s="883" t="s">
        <v>46</v>
      </c>
      <c r="G277" s="883" t="s">
        <v>47</v>
      </c>
      <c r="H277" s="634" t="s">
        <v>48</v>
      </c>
      <c r="I277" s="634" t="s">
        <v>49</v>
      </c>
      <c r="J277" s="634" t="s">
        <v>50</v>
      </c>
      <c r="L277" s="9"/>
      <c r="M277" s="9"/>
      <c r="N277" s="9"/>
      <c r="P277" s="9"/>
      <c r="Q277" s="9"/>
      <c r="R277" s="9"/>
      <c r="S277" s="9"/>
      <c r="T277" s="9"/>
    </row>
    <row r="278" spans="1:20" ht="16.5" thickBot="1" x14ac:dyDescent="0.4">
      <c r="A278" s="9"/>
      <c r="B278" s="672" t="s">
        <v>406</v>
      </c>
      <c r="C278" s="342">
        <v>5</v>
      </c>
      <c r="D278" s="534">
        <v>5.5</v>
      </c>
      <c r="E278" s="535">
        <v>5.9</v>
      </c>
      <c r="F278" s="275">
        <v>5.5</v>
      </c>
      <c r="G278" s="275">
        <v>5</v>
      </c>
      <c r="H278" s="275">
        <v>4.7</v>
      </c>
      <c r="I278" s="275">
        <v>6.6</v>
      </c>
      <c r="J278" s="275">
        <v>9.6999999999999993</v>
      </c>
      <c r="L278" s="9"/>
      <c r="M278" s="9"/>
      <c r="N278" s="9"/>
      <c r="P278" s="9"/>
      <c r="Q278" s="9"/>
      <c r="R278" s="9"/>
      <c r="S278" s="9"/>
      <c r="T278" s="9"/>
    </row>
    <row r="279" spans="1:20" ht="16" x14ac:dyDescent="0.35">
      <c r="A279" s="9"/>
      <c r="B279" s="671" t="s">
        <v>407</v>
      </c>
      <c r="C279" s="698">
        <v>2.1</v>
      </c>
      <c r="D279" s="536">
        <v>1.6</v>
      </c>
      <c r="E279" s="275">
        <v>2.2999999999999998</v>
      </c>
      <c r="F279" s="533"/>
      <c r="G279" s="533"/>
      <c r="H279" s="533"/>
      <c r="I279" s="533"/>
      <c r="J279" s="533"/>
      <c r="L279" s="9"/>
      <c r="M279" s="9"/>
      <c r="N279" s="9"/>
      <c r="P279" s="9"/>
      <c r="Q279" s="9"/>
      <c r="R279" s="9"/>
      <c r="S279" s="9"/>
      <c r="T279" s="9"/>
    </row>
    <row r="280" spans="1:20" ht="17.5" x14ac:dyDescent="0.45">
      <c r="A280" s="9"/>
      <c r="B280" s="111"/>
      <c r="C280" s="111"/>
      <c r="D280" s="107"/>
      <c r="E280" s="107"/>
      <c r="F280" s="107"/>
      <c r="G280" s="107"/>
      <c r="H280" s="107"/>
      <c r="I280" s="107"/>
      <c r="J280" s="9"/>
      <c r="K280" s="9"/>
      <c r="L280" s="9"/>
      <c r="N280" s="9"/>
      <c r="O280" s="9"/>
      <c r="P280" s="9"/>
      <c r="Q280" s="9"/>
      <c r="R280" s="9"/>
    </row>
    <row r="281" spans="1:20" s="606" customFormat="1" ht="17.5" x14ac:dyDescent="0.45">
      <c r="B281" s="630" t="s">
        <v>253</v>
      </c>
      <c r="C281" s="630"/>
      <c r="D281" s="629"/>
      <c r="E281" s="629"/>
      <c r="F281" s="629"/>
      <c r="G281" s="629"/>
      <c r="H281" s="629"/>
      <c r="I281" s="629"/>
      <c r="K281" s="629"/>
    </row>
    <row r="282" spans="1:20" ht="5.5" customHeight="1" thickBot="1" x14ac:dyDescent="0.5">
      <c r="A282" s="9"/>
      <c r="B282" s="111"/>
      <c r="C282" s="111"/>
      <c r="D282" s="107"/>
      <c r="E282" s="107"/>
      <c r="F282" s="107"/>
      <c r="G282" s="107"/>
      <c r="H282" s="107"/>
      <c r="I282" s="107"/>
      <c r="J282" s="9"/>
      <c r="K282" s="9"/>
      <c r="L282" s="9"/>
      <c r="N282" s="9"/>
      <c r="O282" s="9"/>
      <c r="P282" s="9"/>
      <c r="Q282" s="9"/>
      <c r="R282" s="9"/>
    </row>
    <row r="283" spans="1:20" ht="32" x14ac:dyDescent="0.35">
      <c r="A283" s="9"/>
      <c r="B283" s="883" t="s">
        <v>368</v>
      </c>
      <c r="C283" s="883" t="s">
        <v>43</v>
      </c>
      <c r="D283" s="883" t="s">
        <v>44</v>
      </c>
      <c r="E283" s="883" t="s">
        <v>45</v>
      </c>
      <c r="F283" s="883" t="s">
        <v>46</v>
      </c>
      <c r="G283" s="883" t="s">
        <v>47</v>
      </c>
      <c r="H283" s="634" t="s">
        <v>48</v>
      </c>
      <c r="I283" s="883" t="s">
        <v>49</v>
      </c>
      <c r="J283" s="883" t="s">
        <v>50</v>
      </c>
      <c r="K283" s="114"/>
      <c r="L283" s="9"/>
      <c r="P283" s="9"/>
      <c r="Q283" s="9"/>
      <c r="R283" s="9"/>
      <c r="S283" s="9"/>
      <c r="T283" s="9"/>
    </row>
    <row r="284" spans="1:20" ht="16" x14ac:dyDescent="0.35">
      <c r="A284" s="9"/>
      <c r="B284" s="262" t="s">
        <v>365</v>
      </c>
      <c r="C284" s="517">
        <v>0.92520000000000002</v>
      </c>
      <c r="D284" s="517">
        <v>0.95699999999999996</v>
      </c>
      <c r="E284" s="339">
        <v>0.92700000000000005</v>
      </c>
      <c r="F284" s="339">
        <v>0.92300000000000004</v>
      </c>
      <c r="G284" s="339" t="s">
        <v>68</v>
      </c>
      <c r="H284" s="248">
        <v>0.98</v>
      </c>
      <c r="I284" s="248">
        <v>0.92500000000000004</v>
      </c>
      <c r="J284" s="248">
        <v>0.95899999999999996</v>
      </c>
      <c r="K284" s="111"/>
      <c r="L284" s="9"/>
      <c r="M284" s="9"/>
      <c r="N284" s="9"/>
      <c r="P284" s="9"/>
      <c r="Q284" s="9"/>
      <c r="R284" s="9"/>
      <c r="S284" s="9"/>
      <c r="T284" s="9"/>
    </row>
    <row r="285" spans="1:20" ht="16" x14ac:dyDescent="0.35">
      <c r="A285" s="9"/>
      <c r="B285" s="231" t="s">
        <v>366</v>
      </c>
      <c r="C285" s="518">
        <v>7.4800000000000005E-2</v>
      </c>
      <c r="D285" s="518">
        <v>4.2999999999999997E-2</v>
      </c>
      <c r="E285" s="340">
        <v>7.2999999999999995E-2</v>
      </c>
      <c r="F285" s="340">
        <v>7.6999999999999999E-2</v>
      </c>
      <c r="G285" s="340"/>
      <c r="H285" s="274">
        <v>0.02</v>
      </c>
      <c r="I285" s="274">
        <v>7.4999999999999997E-2</v>
      </c>
      <c r="J285" s="274">
        <v>4.1000000000000002E-2</v>
      </c>
      <c r="K285" s="114"/>
      <c r="L285" s="9"/>
      <c r="M285" s="9"/>
      <c r="N285" s="9"/>
      <c r="P285" s="9"/>
      <c r="Q285" s="9"/>
      <c r="R285" s="9"/>
      <c r="S285" s="9"/>
      <c r="T285" s="9"/>
    </row>
    <row r="286" spans="1:20" ht="17.5" x14ac:dyDescent="0.45">
      <c r="A286" s="9"/>
      <c r="B286" s="115"/>
      <c r="C286" s="115"/>
      <c r="D286" s="115"/>
      <c r="I286" s="107"/>
      <c r="J286" s="9"/>
      <c r="K286" s="9"/>
      <c r="L286" s="9"/>
      <c r="N286" s="9"/>
      <c r="O286" s="9"/>
      <c r="P286" s="9"/>
      <c r="Q286" s="9"/>
      <c r="R286" s="9"/>
    </row>
    <row r="287" spans="1:20" s="606" customFormat="1" ht="17.5" x14ac:dyDescent="0.45">
      <c r="B287" s="630" t="s">
        <v>255</v>
      </c>
      <c r="C287" s="630"/>
      <c r="D287" s="629"/>
      <c r="E287" s="629"/>
      <c r="F287" s="629"/>
      <c r="G287" s="629"/>
      <c r="H287" s="629"/>
      <c r="I287" s="629"/>
      <c r="K287" s="629"/>
    </row>
    <row r="288" spans="1:20" ht="5.5" customHeight="1" thickBot="1" x14ac:dyDescent="0.5">
      <c r="A288" s="9"/>
      <c r="B288" s="111"/>
      <c r="C288" s="111"/>
      <c r="D288" s="107"/>
      <c r="E288" s="107"/>
      <c r="F288" s="107"/>
      <c r="G288" s="107"/>
      <c r="H288" s="107"/>
      <c r="I288" s="107"/>
      <c r="J288" s="9"/>
      <c r="K288" s="9"/>
      <c r="L288" s="9"/>
      <c r="N288" s="9"/>
      <c r="O288" s="9"/>
      <c r="P288" s="9"/>
      <c r="Q288" s="9"/>
      <c r="R288" s="9"/>
    </row>
    <row r="289" spans="1:20" ht="32" x14ac:dyDescent="0.35">
      <c r="A289" s="9"/>
      <c r="B289" s="883" t="s">
        <v>57</v>
      </c>
      <c r="C289" s="883" t="s">
        <v>43</v>
      </c>
      <c r="D289" s="883" t="s">
        <v>44</v>
      </c>
      <c r="E289" s="883" t="s">
        <v>45</v>
      </c>
      <c r="F289" s="883" t="s">
        <v>46</v>
      </c>
      <c r="G289" s="883" t="s">
        <v>47</v>
      </c>
      <c r="H289" s="634" t="s">
        <v>48</v>
      </c>
      <c r="I289" s="635" t="s">
        <v>49</v>
      </c>
      <c r="J289" s="883" t="s">
        <v>57</v>
      </c>
      <c r="K289" s="883" t="s">
        <v>50</v>
      </c>
      <c r="L289" s="9"/>
      <c r="P289" s="9"/>
      <c r="Q289" s="9"/>
      <c r="R289" s="9"/>
      <c r="S289" s="9"/>
      <c r="T289" s="9"/>
    </row>
    <row r="290" spans="1:20" ht="16" x14ac:dyDescent="0.35">
      <c r="A290" s="9"/>
      <c r="B290" s="262" t="s">
        <v>408</v>
      </c>
      <c r="C290" s="519">
        <v>13.5</v>
      </c>
      <c r="D290" s="519">
        <v>13</v>
      </c>
      <c r="E290" s="341">
        <v>13.8</v>
      </c>
      <c r="F290" s="341">
        <v>13.8</v>
      </c>
      <c r="G290" s="341">
        <v>9.3000000000000007</v>
      </c>
      <c r="H290" s="267">
        <v>9.3000000000000007</v>
      </c>
      <c r="I290" s="270">
        <v>12.3</v>
      </c>
      <c r="J290" s="262" t="s">
        <v>408</v>
      </c>
      <c r="K290" s="267">
        <v>20</v>
      </c>
      <c r="L290" s="9"/>
      <c r="P290" s="9"/>
      <c r="Q290" s="9"/>
      <c r="R290" s="9"/>
      <c r="S290" s="9"/>
      <c r="T290" s="9"/>
    </row>
    <row r="291" spans="1:20" ht="16" x14ac:dyDescent="0.35">
      <c r="A291" s="9"/>
      <c r="B291" s="262" t="s">
        <v>409</v>
      </c>
      <c r="C291" s="519">
        <v>4.3</v>
      </c>
      <c r="D291" s="519">
        <v>1.8</v>
      </c>
      <c r="E291" s="341">
        <v>2</v>
      </c>
      <c r="F291" s="341">
        <v>2</v>
      </c>
      <c r="G291" s="341">
        <v>2.4</v>
      </c>
      <c r="H291" s="267">
        <v>2.4</v>
      </c>
      <c r="I291" s="270">
        <v>2.7</v>
      </c>
      <c r="J291" s="262" t="s">
        <v>409</v>
      </c>
      <c r="K291" s="267">
        <v>2.5</v>
      </c>
      <c r="L291" s="9"/>
      <c r="P291" s="9"/>
      <c r="Q291" s="9"/>
      <c r="R291" s="9"/>
      <c r="S291" s="9"/>
      <c r="T291" s="9"/>
    </row>
    <row r="292" spans="1:20" ht="32" x14ac:dyDescent="0.35">
      <c r="A292" s="9"/>
      <c r="B292" s="262" t="s">
        <v>410</v>
      </c>
      <c r="C292" s="519">
        <v>5.6</v>
      </c>
      <c r="D292" s="519">
        <v>3.5</v>
      </c>
      <c r="E292" s="341">
        <v>5.2</v>
      </c>
      <c r="F292" s="341">
        <v>5.2</v>
      </c>
      <c r="G292" s="341">
        <v>4.5999999999999996</v>
      </c>
      <c r="H292" s="267">
        <v>4.5999999999999996</v>
      </c>
      <c r="I292" s="270">
        <v>7.1</v>
      </c>
      <c r="J292" s="262" t="s">
        <v>410</v>
      </c>
      <c r="K292" s="267">
        <v>6.3</v>
      </c>
      <c r="L292" s="9"/>
      <c r="P292" s="9"/>
      <c r="Q292" s="9"/>
      <c r="R292" s="9"/>
      <c r="S292" s="9"/>
      <c r="T292" s="9"/>
    </row>
    <row r="293" spans="1:20" ht="16" x14ac:dyDescent="0.35">
      <c r="A293" s="9"/>
      <c r="B293" s="262" t="s">
        <v>411</v>
      </c>
      <c r="C293" s="699">
        <v>5</v>
      </c>
      <c r="D293" s="519">
        <v>5.5</v>
      </c>
      <c r="E293" s="341">
        <v>6</v>
      </c>
      <c r="F293" s="341">
        <v>6</v>
      </c>
      <c r="G293" s="341">
        <v>5.0999999999999996</v>
      </c>
      <c r="H293" s="267">
        <v>5.0999999999999996</v>
      </c>
      <c r="I293" s="270">
        <v>7.1</v>
      </c>
      <c r="J293" s="262" t="s">
        <v>412</v>
      </c>
      <c r="K293" s="267">
        <v>11</v>
      </c>
      <c r="L293" s="9"/>
      <c r="P293" s="9"/>
      <c r="Q293" s="9"/>
      <c r="R293" s="9"/>
      <c r="S293" s="9"/>
      <c r="T293" s="9"/>
    </row>
    <row r="294" spans="1:20" ht="16" x14ac:dyDescent="0.35">
      <c r="A294" s="9"/>
      <c r="B294" s="262" t="s">
        <v>76</v>
      </c>
      <c r="C294" s="520" t="s">
        <v>89</v>
      </c>
      <c r="D294" s="520" t="s">
        <v>89</v>
      </c>
      <c r="E294" s="342" t="s">
        <v>89</v>
      </c>
      <c r="F294" s="341">
        <v>1.4</v>
      </c>
      <c r="G294" s="342" t="s">
        <v>89</v>
      </c>
      <c r="H294" s="267">
        <v>1.9</v>
      </c>
      <c r="I294" s="270">
        <v>2.6</v>
      </c>
      <c r="J294" s="262" t="s">
        <v>76</v>
      </c>
      <c r="K294" s="267">
        <v>2.6</v>
      </c>
      <c r="L294" s="9"/>
      <c r="P294" s="9"/>
      <c r="Q294" s="9"/>
      <c r="R294" s="9"/>
      <c r="S294" s="9"/>
      <c r="T294" s="9"/>
    </row>
    <row r="295" spans="1:20" ht="16" x14ac:dyDescent="0.35">
      <c r="A295" s="9"/>
      <c r="B295" s="231" t="s">
        <v>80</v>
      </c>
      <c r="C295" s="700">
        <v>5</v>
      </c>
      <c r="D295" s="223">
        <v>5.5</v>
      </c>
      <c r="E295" s="343">
        <v>5.9</v>
      </c>
      <c r="F295" s="343">
        <v>5.5</v>
      </c>
      <c r="G295" s="397">
        <v>5</v>
      </c>
      <c r="H295" s="268">
        <v>4.7</v>
      </c>
      <c r="I295" s="271">
        <v>6.6</v>
      </c>
      <c r="J295" s="262" t="s">
        <v>413</v>
      </c>
      <c r="K295" s="267">
        <v>7.4</v>
      </c>
      <c r="L295" s="9"/>
      <c r="M295" s="9"/>
      <c r="N295" s="9"/>
      <c r="P295" s="9"/>
      <c r="Q295" s="9"/>
      <c r="R295" s="9"/>
      <c r="S295" s="9"/>
      <c r="T295" s="9"/>
    </row>
    <row r="296" spans="1:20" ht="18" thickBot="1" x14ac:dyDescent="0.5">
      <c r="A296" s="9"/>
      <c r="B296" s="107"/>
      <c r="D296" s="107"/>
      <c r="H296" s="9"/>
      <c r="I296" s="107"/>
      <c r="J296" s="231" t="s">
        <v>80</v>
      </c>
      <c r="K296" s="268">
        <v>9.6999999999999993</v>
      </c>
      <c r="L296" s="9"/>
      <c r="M296" s="9"/>
      <c r="N296" s="9"/>
      <c r="P296" s="9"/>
      <c r="Q296" s="9"/>
      <c r="R296" s="9"/>
      <c r="S296" s="9"/>
      <c r="T296" s="9"/>
    </row>
    <row r="297" spans="1:20" ht="17.5" x14ac:dyDescent="0.45">
      <c r="A297" s="9"/>
      <c r="B297" s="107"/>
      <c r="D297" s="107"/>
      <c r="H297" s="9"/>
      <c r="I297" s="107"/>
      <c r="J297" s="236"/>
      <c r="K297" s="679"/>
      <c r="L297" s="9"/>
      <c r="M297" s="9"/>
      <c r="N297" s="9"/>
      <c r="P297" s="9"/>
      <c r="Q297" s="9"/>
      <c r="R297" s="9"/>
      <c r="S297" s="9"/>
      <c r="T297" s="9"/>
    </row>
    <row r="298" spans="1:20" s="606" customFormat="1" ht="17.5" x14ac:dyDescent="0.45">
      <c r="B298" s="630" t="s">
        <v>257</v>
      </c>
      <c r="C298" s="630"/>
      <c r="D298" s="629"/>
      <c r="E298" s="629"/>
      <c r="F298" s="629"/>
      <c r="G298" s="629"/>
      <c r="H298" s="629"/>
      <c r="I298" s="629"/>
      <c r="K298" s="629"/>
    </row>
    <row r="299" spans="1:20" ht="5.5" customHeight="1" thickBot="1" x14ac:dyDescent="0.5">
      <c r="A299" s="9"/>
      <c r="B299" s="107"/>
      <c r="D299" s="107"/>
      <c r="H299" s="9"/>
      <c r="I299" s="107"/>
      <c r="J299" s="236"/>
      <c r="K299" s="679"/>
      <c r="L299" s="9"/>
      <c r="M299" s="9"/>
      <c r="N299" s="9"/>
      <c r="P299" s="9"/>
      <c r="Q299" s="9"/>
      <c r="R299" s="9"/>
      <c r="S299" s="9"/>
      <c r="T299" s="9"/>
    </row>
    <row r="300" spans="1:20" ht="17.5" x14ac:dyDescent="0.45">
      <c r="A300" s="9"/>
      <c r="B300" s="883" t="s">
        <v>414</v>
      </c>
      <c r="C300" s="883" t="s">
        <v>43</v>
      </c>
      <c r="D300" s="107"/>
      <c r="H300" s="9"/>
      <c r="I300" s="107"/>
      <c r="J300" s="236"/>
      <c r="K300" s="679"/>
      <c r="L300" s="9"/>
      <c r="M300" s="9"/>
      <c r="N300" s="9"/>
      <c r="P300" s="9"/>
      <c r="Q300" s="9"/>
      <c r="R300" s="9"/>
      <c r="S300" s="9"/>
      <c r="T300" s="9"/>
    </row>
    <row r="301" spans="1:20" ht="17.5" x14ac:dyDescent="0.45">
      <c r="A301" s="9"/>
      <c r="B301" s="262" t="s">
        <v>415</v>
      </c>
      <c r="C301" s="701">
        <v>11</v>
      </c>
      <c r="D301" s="107"/>
      <c r="H301" s="9"/>
      <c r="I301" s="107"/>
      <c r="J301" s="236"/>
      <c r="K301" s="679"/>
      <c r="L301" s="9"/>
      <c r="M301" s="9"/>
      <c r="N301" s="9"/>
      <c r="P301" s="9"/>
      <c r="Q301" s="9"/>
      <c r="R301" s="9"/>
      <c r="S301" s="9"/>
      <c r="T301" s="9"/>
    </row>
    <row r="302" spans="1:20" ht="32.5" thickBot="1" x14ac:dyDescent="0.5">
      <c r="A302" s="9"/>
      <c r="B302" s="231" t="s">
        <v>416</v>
      </c>
      <c r="C302" s="702" t="s">
        <v>417</v>
      </c>
      <c r="D302" s="107"/>
      <c r="H302" s="9"/>
      <c r="I302" s="107"/>
      <c r="J302" s="236"/>
      <c r="K302" s="679"/>
      <c r="L302" s="9"/>
      <c r="M302" s="9"/>
      <c r="N302" s="9"/>
      <c r="P302" s="9"/>
      <c r="Q302" s="9"/>
      <c r="R302" s="9"/>
      <c r="S302" s="9"/>
      <c r="T302" s="9"/>
    </row>
    <row r="303" spans="1:20" ht="17.5" x14ac:dyDescent="0.45">
      <c r="A303" s="9"/>
      <c r="B303" s="107"/>
      <c r="D303" s="107"/>
      <c r="H303" s="9"/>
      <c r="I303" s="107"/>
      <c r="J303" s="236"/>
      <c r="K303" s="679"/>
      <c r="L303" s="9"/>
      <c r="M303" s="9"/>
      <c r="N303" s="9"/>
      <c r="P303" s="9"/>
      <c r="Q303" s="9"/>
      <c r="R303" s="9"/>
      <c r="S303" s="9"/>
      <c r="T303" s="9"/>
    </row>
    <row r="304" spans="1:20" s="632" customFormat="1" ht="21" x14ac:dyDescent="0.55000000000000004">
      <c r="B304" s="625" t="s">
        <v>259</v>
      </c>
      <c r="C304" s="625"/>
      <c r="D304" s="633"/>
      <c r="E304" s="633"/>
      <c r="F304" s="633"/>
      <c r="G304" s="633"/>
      <c r="H304" s="633"/>
      <c r="I304" s="633"/>
      <c r="K304" s="633"/>
    </row>
    <row r="305" spans="1:20" ht="5.5" customHeight="1" x14ac:dyDescent="0.45">
      <c r="A305" s="9"/>
      <c r="B305" s="685"/>
      <c r="C305" s="685"/>
      <c r="D305" s="107"/>
      <c r="E305" s="686"/>
      <c r="F305" s="687"/>
      <c r="G305" s="687"/>
      <c r="H305" s="687"/>
      <c r="I305" s="688"/>
      <c r="J305" s="688"/>
      <c r="K305" s="688"/>
      <c r="L305" s="9"/>
      <c r="P305" s="9"/>
      <c r="Q305" s="9"/>
      <c r="R305" s="9"/>
      <c r="S305" s="9"/>
      <c r="T305" s="9"/>
    </row>
    <row r="306" spans="1:20" s="606" customFormat="1" ht="17.5" x14ac:dyDescent="0.45">
      <c r="B306" s="630" t="s">
        <v>418</v>
      </c>
      <c r="C306" s="630"/>
      <c r="D306" s="629"/>
      <c r="E306" s="629"/>
      <c r="F306" s="629"/>
      <c r="G306" s="629"/>
      <c r="H306" s="629"/>
      <c r="I306" s="629"/>
      <c r="K306" s="629"/>
    </row>
    <row r="307" spans="1:20" ht="5.5" customHeight="1" thickBot="1" x14ac:dyDescent="0.5">
      <c r="A307" s="9"/>
      <c r="B307" s="111"/>
      <c r="C307" s="111"/>
      <c r="D307" s="107"/>
      <c r="E307" s="107"/>
      <c r="F307" s="107"/>
      <c r="G307" s="107"/>
      <c r="H307" s="107"/>
      <c r="I307" s="107"/>
      <c r="J307" s="9"/>
      <c r="K307" s="9"/>
      <c r="L307" s="9"/>
      <c r="N307" s="9"/>
      <c r="O307" s="9"/>
      <c r="P307" s="9"/>
      <c r="Q307" s="9"/>
      <c r="R307" s="9"/>
    </row>
    <row r="308" spans="1:20" ht="17.5" x14ac:dyDescent="0.45">
      <c r="A308" s="9"/>
      <c r="B308" s="883" t="s">
        <v>419</v>
      </c>
      <c r="C308" s="883" t="s">
        <v>43</v>
      </c>
      <c r="D308" s="107"/>
      <c r="E308" s="107"/>
      <c r="F308" s="107"/>
      <c r="G308" s="107"/>
      <c r="H308" s="107"/>
      <c r="I308" s="107"/>
      <c r="J308" s="9"/>
      <c r="N308" s="9"/>
      <c r="O308" s="9"/>
      <c r="P308" s="9"/>
      <c r="Q308" s="9"/>
      <c r="R308" s="9"/>
    </row>
    <row r="309" spans="1:20" ht="48" x14ac:dyDescent="0.45">
      <c r="A309" s="9"/>
      <c r="B309" s="689" t="s">
        <v>420</v>
      </c>
      <c r="C309" s="690" t="s">
        <v>421</v>
      </c>
      <c r="D309" s="107"/>
      <c r="E309" s="686"/>
      <c r="F309" s="687"/>
      <c r="G309" s="687"/>
      <c r="H309" s="687"/>
      <c r="I309" s="688"/>
      <c r="J309" s="688"/>
      <c r="K309" s="688"/>
      <c r="L309" s="9"/>
      <c r="P309" s="9"/>
      <c r="Q309" s="9"/>
      <c r="R309" s="9"/>
      <c r="S309" s="9"/>
      <c r="T309" s="9"/>
    </row>
    <row r="310" spans="1:20" ht="48.5" thickBot="1" x14ac:dyDescent="0.5">
      <c r="A310" s="9"/>
      <c r="B310" s="231" t="s">
        <v>422</v>
      </c>
      <c r="C310" s="691" t="s">
        <v>423</v>
      </c>
      <c r="D310" s="107"/>
      <c r="E310" s="686"/>
      <c r="F310" s="687"/>
      <c r="G310" s="687"/>
      <c r="H310" s="687"/>
      <c r="I310" s="688"/>
      <c r="J310" s="688"/>
      <c r="K310" s="688"/>
      <c r="L310" s="9"/>
      <c r="P310" s="9"/>
      <c r="Q310" s="9"/>
      <c r="R310" s="9"/>
      <c r="S310" s="9"/>
      <c r="T310" s="9"/>
    </row>
    <row r="311" spans="1:20" ht="17.5" x14ac:dyDescent="0.45">
      <c r="A311" s="9"/>
      <c r="B311" s="107"/>
      <c r="D311" s="107"/>
      <c r="H311" s="9"/>
      <c r="I311" s="107"/>
      <c r="J311" s="236"/>
      <c r="K311" s="679"/>
      <c r="L311" s="9"/>
      <c r="M311" s="9"/>
      <c r="N311" s="9"/>
      <c r="P311" s="9"/>
      <c r="Q311" s="9"/>
      <c r="R311" s="9"/>
      <c r="S311" s="9"/>
      <c r="T311" s="9"/>
    </row>
    <row r="312" spans="1:20" s="632" customFormat="1" ht="21" x14ac:dyDescent="0.55000000000000004">
      <c r="B312" s="625" t="s">
        <v>261</v>
      </c>
      <c r="C312" s="625"/>
      <c r="D312" s="633"/>
      <c r="E312" s="633"/>
      <c r="F312" s="633"/>
      <c r="G312" s="633"/>
      <c r="H312" s="633"/>
      <c r="I312" s="633"/>
      <c r="K312" s="633"/>
    </row>
    <row r="313" spans="1:20" ht="5.5" customHeight="1" x14ac:dyDescent="0.45">
      <c r="A313" s="9"/>
      <c r="B313" s="111"/>
      <c r="C313" s="111"/>
      <c r="D313" s="107"/>
      <c r="E313" s="107"/>
      <c r="F313" s="107"/>
      <c r="G313" s="107"/>
      <c r="H313" s="107"/>
      <c r="I313" s="107"/>
      <c r="J313" s="9"/>
      <c r="K313" s="9"/>
      <c r="L313" s="9"/>
      <c r="N313" s="9"/>
      <c r="O313" s="9"/>
      <c r="P313" s="9"/>
      <c r="Q313" s="9"/>
      <c r="R313" s="9"/>
    </row>
    <row r="314" spans="1:20" s="606" customFormat="1" ht="17.5" x14ac:dyDescent="0.45">
      <c r="B314" s="720" t="s">
        <v>424</v>
      </c>
      <c r="C314" s="630"/>
      <c r="D314" s="629"/>
      <c r="E314" s="629"/>
      <c r="F314" s="629"/>
      <c r="G314" s="629"/>
      <c r="H314" s="629"/>
      <c r="I314" s="629"/>
      <c r="K314" s="629"/>
    </row>
    <row r="315" spans="1:20" ht="5.5" customHeight="1" thickBot="1" x14ac:dyDescent="0.5">
      <c r="A315" s="9"/>
      <c r="B315" s="111"/>
      <c r="C315" s="111"/>
      <c r="D315" s="107"/>
      <c r="E315" s="107"/>
      <c r="F315" s="107"/>
      <c r="G315" s="107"/>
      <c r="H315" s="107"/>
      <c r="I315" s="107"/>
      <c r="J315" s="9"/>
      <c r="K315" s="9"/>
      <c r="L315" s="9"/>
      <c r="N315" s="9"/>
      <c r="O315" s="9"/>
      <c r="P315" s="9"/>
      <c r="Q315" s="9"/>
      <c r="R315" s="9"/>
    </row>
    <row r="316" spans="1:20" ht="16" x14ac:dyDescent="0.35">
      <c r="A316" s="9"/>
      <c r="B316" s="883" t="s">
        <v>425</v>
      </c>
      <c r="C316" s="883" t="s">
        <v>43</v>
      </c>
      <c r="D316" s="883" t="s">
        <v>44</v>
      </c>
      <c r="E316" s="883" t="s">
        <v>61</v>
      </c>
      <c r="F316" s="883" t="s">
        <v>426</v>
      </c>
      <c r="G316" s="883" t="s">
        <v>49</v>
      </c>
      <c r="H316" s="9"/>
      <c r="I316" s="9"/>
      <c r="J316" s="9"/>
      <c r="K316" s="9"/>
      <c r="L316" s="9"/>
      <c r="M316" s="9"/>
      <c r="N316" s="9"/>
      <c r="O316" s="9"/>
      <c r="P316" s="9"/>
      <c r="Q316" s="9"/>
      <c r="R316" s="9"/>
    </row>
    <row r="317" spans="1:20" ht="32" x14ac:dyDescent="0.35">
      <c r="A317" s="9"/>
      <c r="B317" s="276" t="s">
        <v>427</v>
      </c>
      <c r="C317" s="703">
        <v>70920.63</v>
      </c>
      <c r="D317" s="703">
        <v>62796.95</v>
      </c>
      <c r="E317" s="704">
        <v>80088.42</v>
      </c>
      <c r="F317" s="705">
        <v>86714.66</v>
      </c>
      <c r="G317" s="704">
        <v>131376.81</v>
      </c>
      <c r="H317" s="9"/>
      <c r="I317" s="9"/>
      <c r="J317" s="9"/>
      <c r="K317" s="9"/>
      <c r="L317" s="9"/>
      <c r="M317" s="9"/>
      <c r="N317" s="9"/>
      <c r="O317" s="9"/>
      <c r="P317" s="9"/>
      <c r="Q317" s="9"/>
      <c r="R317" s="9"/>
    </row>
    <row r="318" spans="1:20" ht="18" thickBot="1" x14ac:dyDescent="0.5">
      <c r="A318" s="9"/>
      <c r="B318" s="111"/>
      <c r="C318" s="111"/>
      <c r="D318" s="107"/>
      <c r="E318" s="107"/>
      <c r="F318" s="107"/>
      <c r="G318" s="107"/>
      <c r="H318" s="107"/>
      <c r="I318" s="107"/>
      <c r="J318" s="9"/>
      <c r="K318" s="9"/>
      <c r="L318" s="9"/>
      <c r="M318" s="9"/>
      <c r="N318" s="9"/>
      <c r="O318" s="9"/>
      <c r="P318" s="9"/>
      <c r="Q318" s="9"/>
      <c r="R318" s="9"/>
    </row>
    <row r="319" spans="1:20" ht="32" x14ac:dyDescent="0.45">
      <c r="A319" s="9"/>
      <c r="B319" s="647" t="s">
        <v>56</v>
      </c>
      <c r="C319" s="648" t="s">
        <v>57</v>
      </c>
      <c r="D319" s="648" t="s">
        <v>428</v>
      </c>
      <c r="E319" s="648" t="s">
        <v>429</v>
      </c>
      <c r="F319" s="648" t="s">
        <v>430</v>
      </c>
      <c r="G319" s="648" t="s">
        <v>431</v>
      </c>
      <c r="H319" s="648" t="s">
        <v>432</v>
      </c>
      <c r="I319" s="10"/>
      <c r="J319" s="9"/>
      <c r="K319" s="9"/>
      <c r="L319" s="9"/>
      <c r="M319" s="9"/>
      <c r="N319" s="9"/>
      <c r="O319" s="9"/>
      <c r="P319" s="9"/>
      <c r="Q319" s="9"/>
      <c r="R319" s="9"/>
    </row>
    <row r="320" spans="1:20" ht="17.5" x14ac:dyDescent="0.45">
      <c r="A320" s="9"/>
      <c r="B320" s="521" t="s">
        <v>43</v>
      </c>
      <c r="C320" s="490" t="s">
        <v>80</v>
      </c>
      <c r="D320" s="706">
        <v>5.91</v>
      </c>
      <c r="E320" s="706">
        <v>4.09</v>
      </c>
      <c r="F320" s="706">
        <v>9.9600000000000009</v>
      </c>
      <c r="G320" s="706">
        <v>3.77</v>
      </c>
      <c r="H320" s="706">
        <v>13.55</v>
      </c>
      <c r="I320" s="10"/>
      <c r="J320" s="9"/>
      <c r="K320" s="9"/>
      <c r="L320" s="9"/>
      <c r="M320" s="9"/>
      <c r="N320" s="9"/>
      <c r="O320" s="9"/>
      <c r="P320" s="9"/>
      <c r="Q320" s="9"/>
      <c r="R320" s="9"/>
    </row>
    <row r="321" spans="1:18" ht="17.5" x14ac:dyDescent="0.45">
      <c r="A321" s="9"/>
      <c r="B321" s="522"/>
      <c r="C321" s="492" t="s">
        <v>51</v>
      </c>
      <c r="D321" s="519">
        <v>4.8899999999999997</v>
      </c>
      <c r="E321" s="519">
        <v>3.89</v>
      </c>
      <c r="F321" s="519">
        <v>10.32</v>
      </c>
      <c r="G321" s="519">
        <v>3.47</v>
      </c>
      <c r="H321" s="519">
        <v>14.05</v>
      </c>
      <c r="I321" s="10"/>
      <c r="J321" s="9"/>
      <c r="K321" s="9"/>
      <c r="L321" s="9"/>
      <c r="M321" s="9"/>
      <c r="N321" s="9"/>
      <c r="O321" s="9"/>
      <c r="P321" s="9"/>
      <c r="Q321" s="9"/>
      <c r="R321" s="9"/>
    </row>
    <row r="322" spans="1:18" ht="17.5" x14ac:dyDescent="0.45">
      <c r="A322" s="9"/>
      <c r="B322" s="522"/>
      <c r="C322" s="492" t="s">
        <v>52</v>
      </c>
      <c r="D322" s="519">
        <v>5.56</v>
      </c>
      <c r="E322" s="519">
        <v>4.0199999999999996</v>
      </c>
      <c r="F322" s="519">
        <v>9.8000000000000007</v>
      </c>
      <c r="G322" s="519">
        <v>3.96</v>
      </c>
      <c r="H322" s="519">
        <v>15.28</v>
      </c>
      <c r="I322" s="10"/>
      <c r="J322" s="9"/>
      <c r="K322" s="9"/>
      <c r="L322" s="9"/>
      <c r="M322" s="9"/>
      <c r="N322" s="9"/>
      <c r="O322" s="9"/>
      <c r="P322" s="9"/>
      <c r="Q322" s="9"/>
      <c r="R322" s="9"/>
    </row>
    <row r="323" spans="1:18" ht="17.5" x14ac:dyDescent="0.45">
      <c r="A323" s="9"/>
      <c r="B323" s="522"/>
      <c r="C323" s="492" t="s">
        <v>53</v>
      </c>
      <c r="D323" s="519">
        <v>4.3</v>
      </c>
      <c r="E323" s="519">
        <v>3.55</v>
      </c>
      <c r="F323" s="519">
        <v>7.29</v>
      </c>
      <c r="G323" s="519">
        <v>3.23</v>
      </c>
      <c r="H323" s="519">
        <v>10.17</v>
      </c>
      <c r="I323" s="10"/>
      <c r="J323" s="9"/>
      <c r="K323" s="9"/>
      <c r="L323" s="9"/>
      <c r="M323" s="9"/>
      <c r="N323" s="9"/>
      <c r="O323" s="9"/>
      <c r="P323" s="9"/>
      <c r="Q323" s="9"/>
      <c r="R323" s="9"/>
    </row>
    <row r="324" spans="1:18" ht="17.5" x14ac:dyDescent="0.45">
      <c r="A324" s="9"/>
      <c r="B324" s="523"/>
      <c r="C324" s="494" t="s">
        <v>92</v>
      </c>
      <c r="D324" s="707">
        <v>10.99</v>
      </c>
      <c r="E324" s="707">
        <v>8.5399999999999991</v>
      </c>
      <c r="F324" s="707">
        <v>13.51</v>
      </c>
      <c r="G324" s="707">
        <v>10.39</v>
      </c>
      <c r="H324" s="707">
        <v>11.44</v>
      </c>
      <c r="I324" s="10"/>
      <c r="J324" s="9"/>
      <c r="K324" s="9"/>
      <c r="L324" s="9"/>
      <c r="M324" s="9"/>
      <c r="N324" s="9"/>
      <c r="O324" s="9"/>
      <c r="P324" s="9"/>
      <c r="Q324" s="9"/>
      <c r="R324" s="9"/>
    </row>
    <row r="325" spans="1:18" ht="17.5" x14ac:dyDescent="0.45">
      <c r="A325" s="9"/>
      <c r="B325" s="521" t="s">
        <v>44</v>
      </c>
      <c r="C325" s="490" t="s">
        <v>80</v>
      </c>
      <c r="D325" s="706">
        <v>5.23</v>
      </c>
      <c r="E325" s="706">
        <v>3.72</v>
      </c>
      <c r="F325" s="706">
        <v>6.83</v>
      </c>
      <c r="G325" s="706">
        <v>3.6</v>
      </c>
      <c r="H325" s="706">
        <v>13.71</v>
      </c>
      <c r="I325" s="10"/>
      <c r="J325" s="9"/>
      <c r="K325" s="9"/>
      <c r="L325" s="9"/>
      <c r="M325" s="9"/>
      <c r="N325" s="9"/>
      <c r="O325" s="9"/>
      <c r="P325" s="9"/>
      <c r="Q325" s="9"/>
      <c r="R325" s="9"/>
    </row>
    <row r="326" spans="1:18" ht="17.5" x14ac:dyDescent="0.45">
      <c r="A326" s="9"/>
      <c r="B326" s="522"/>
      <c r="C326" s="492" t="s">
        <v>51</v>
      </c>
      <c r="D326" s="519">
        <v>6.67</v>
      </c>
      <c r="E326" s="519">
        <v>4.8</v>
      </c>
      <c r="F326" s="519">
        <v>11.92</v>
      </c>
      <c r="G326" s="519">
        <v>4.47</v>
      </c>
      <c r="H326" s="519">
        <v>21.39</v>
      </c>
      <c r="I326" s="10"/>
      <c r="J326" s="9"/>
      <c r="K326" s="9"/>
      <c r="L326" s="9"/>
      <c r="M326" s="9"/>
      <c r="N326" s="9"/>
      <c r="O326" s="9"/>
      <c r="P326" s="9"/>
      <c r="Q326" s="9"/>
      <c r="R326" s="9"/>
    </row>
    <row r="327" spans="1:18" ht="17.5" x14ac:dyDescent="0.45">
      <c r="A327" s="9"/>
      <c r="B327" s="522"/>
      <c r="C327" s="492" t="s">
        <v>52</v>
      </c>
      <c r="D327" s="519">
        <v>3.74</v>
      </c>
      <c r="E327" s="519">
        <v>2.25</v>
      </c>
      <c r="F327" s="519">
        <v>4.93</v>
      </c>
      <c r="G327" s="519">
        <v>2.54</v>
      </c>
      <c r="H327" s="519">
        <v>10.54</v>
      </c>
      <c r="I327" s="10"/>
      <c r="J327" s="9"/>
      <c r="K327" s="9"/>
      <c r="L327" s="9"/>
      <c r="M327" s="9"/>
      <c r="N327" s="9"/>
      <c r="O327" s="9"/>
      <c r="P327" s="9"/>
      <c r="Q327" s="9"/>
      <c r="R327" s="9"/>
    </row>
    <row r="328" spans="1:18" ht="17.5" x14ac:dyDescent="0.45">
      <c r="A328" s="9"/>
      <c r="B328" s="522"/>
      <c r="C328" s="492" t="s">
        <v>53</v>
      </c>
      <c r="D328" s="519">
        <v>5.09</v>
      </c>
      <c r="E328" s="519">
        <v>4.62</v>
      </c>
      <c r="F328" s="519">
        <v>4.3899999999999997</v>
      </c>
      <c r="G328" s="519">
        <v>4.1900000000000004</v>
      </c>
      <c r="H328" s="519">
        <v>10.29</v>
      </c>
      <c r="I328" s="10"/>
      <c r="J328" s="9"/>
      <c r="K328" s="9"/>
      <c r="L328" s="9"/>
      <c r="M328" s="9"/>
      <c r="N328" s="9"/>
      <c r="O328" s="9"/>
      <c r="P328" s="9"/>
      <c r="Q328" s="9"/>
      <c r="R328" s="9"/>
    </row>
    <row r="329" spans="1:18" ht="17.5" x14ac:dyDescent="0.45">
      <c r="A329" s="9"/>
      <c r="B329" s="523"/>
      <c r="C329" s="494" t="s">
        <v>92</v>
      </c>
      <c r="D329" s="707">
        <v>8</v>
      </c>
      <c r="E329" s="707">
        <v>5.74</v>
      </c>
      <c r="F329" s="707">
        <v>6.65</v>
      </c>
      <c r="G329" s="707">
        <v>8.14</v>
      </c>
      <c r="H329" s="707">
        <v>9.14</v>
      </c>
      <c r="I329" s="10"/>
      <c r="J329" s="9"/>
      <c r="K329" s="9"/>
      <c r="L329" s="9"/>
      <c r="M329" s="9"/>
      <c r="N329" s="9"/>
      <c r="O329" s="9"/>
      <c r="P329" s="9"/>
      <c r="Q329" s="9"/>
      <c r="R329" s="9"/>
    </row>
    <row r="330" spans="1:18" ht="17.5" x14ac:dyDescent="0.45">
      <c r="A330" s="9"/>
      <c r="B330" s="277" t="s">
        <v>61</v>
      </c>
      <c r="C330" s="279" t="s">
        <v>80</v>
      </c>
      <c r="D330" s="708">
        <v>7.18</v>
      </c>
      <c r="E330" s="708">
        <v>6.25</v>
      </c>
      <c r="F330" s="708">
        <v>9.5500000000000007</v>
      </c>
      <c r="G330" s="709">
        <v>5.1100000000000003</v>
      </c>
      <c r="H330" s="710">
        <v>17.29</v>
      </c>
      <c r="I330" s="10"/>
      <c r="J330" s="9"/>
      <c r="K330" s="9"/>
      <c r="L330" s="9"/>
      <c r="M330" s="9"/>
      <c r="N330" s="9"/>
      <c r="O330" s="9"/>
      <c r="P330" s="9"/>
      <c r="Q330" s="9"/>
      <c r="R330" s="9"/>
    </row>
    <row r="331" spans="1:18" ht="17.5" x14ac:dyDescent="0.45">
      <c r="A331" s="9"/>
      <c r="B331" s="278"/>
      <c r="C331" s="262" t="s">
        <v>51</v>
      </c>
      <c r="D331" s="711">
        <v>9.24</v>
      </c>
      <c r="E331" s="711">
        <v>7.41</v>
      </c>
      <c r="F331" s="711">
        <v>16.23</v>
      </c>
      <c r="G331" s="711">
        <v>6.01</v>
      </c>
      <c r="H331" s="711">
        <v>27.86</v>
      </c>
      <c r="I331" s="10"/>
      <c r="J331" s="9"/>
      <c r="K331" s="9"/>
      <c r="L331" s="9"/>
      <c r="M331" s="9"/>
      <c r="N331" s="9"/>
      <c r="O331" s="9"/>
      <c r="P331" s="9"/>
      <c r="Q331" s="9"/>
      <c r="R331" s="9"/>
    </row>
    <row r="332" spans="1:18" ht="17.5" x14ac:dyDescent="0.45">
      <c r="A332" s="9"/>
      <c r="B332" s="278"/>
      <c r="C332" s="262" t="s">
        <v>52</v>
      </c>
      <c r="D332" s="711">
        <v>4.8099999999999996</v>
      </c>
      <c r="E332" s="711">
        <v>3.94</v>
      </c>
      <c r="F332" s="711">
        <v>6.98</v>
      </c>
      <c r="G332" s="711">
        <v>3.1</v>
      </c>
      <c r="H332" s="711">
        <v>16.02</v>
      </c>
      <c r="I332" s="10"/>
      <c r="J332" s="9"/>
      <c r="K332" s="9"/>
      <c r="L332" s="9"/>
      <c r="M332" s="9"/>
      <c r="N332" s="9"/>
      <c r="O332" s="9"/>
      <c r="P332" s="9"/>
      <c r="Q332" s="9"/>
      <c r="R332" s="9"/>
    </row>
    <row r="333" spans="1:18" ht="17.5" x14ac:dyDescent="0.45">
      <c r="A333" s="9"/>
      <c r="B333" s="278"/>
      <c r="C333" s="262" t="s">
        <v>53</v>
      </c>
      <c r="D333" s="711">
        <v>10.32</v>
      </c>
      <c r="E333" s="711">
        <v>10.45</v>
      </c>
      <c r="F333" s="711">
        <v>8.8699999999999992</v>
      </c>
      <c r="G333" s="711">
        <v>9.11</v>
      </c>
      <c r="H333" s="711">
        <v>17.239999999999998</v>
      </c>
      <c r="I333" s="10"/>
      <c r="J333" s="9"/>
      <c r="K333" s="9"/>
      <c r="L333" s="9"/>
      <c r="M333" s="9"/>
      <c r="N333" s="9"/>
      <c r="O333" s="9"/>
      <c r="P333" s="9"/>
      <c r="Q333" s="9"/>
      <c r="R333" s="9"/>
    </row>
    <row r="334" spans="1:18" ht="17.5" x14ac:dyDescent="0.45">
      <c r="A334" s="9"/>
      <c r="B334" s="237"/>
      <c r="C334" s="231" t="s">
        <v>92</v>
      </c>
      <c r="D334" s="712">
        <v>5.7</v>
      </c>
      <c r="E334" s="712">
        <v>3.94</v>
      </c>
      <c r="F334" s="712">
        <v>7.69</v>
      </c>
      <c r="G334" s="712">
        <v>7.74</v>
      </c>
      <c r="H334" s="712">
        <v>4.6900000000000004</v>
      </c>
      <c r="I334" s="10"/>
      <c r="J334" s="9"/>
      <c r="K334" s="9"/>
      <c r="L334" s="9"/>
      <c r="M334" s="9"/>
      <c r="N334" s="9"/>
      <c r="O334" s="9"/>
      <c r="P334" s="9"/>
      <c r="Q334" s="9"/>
      <c r="R334" s="9"/>
    </row>
    <row r="335" spans="1:18" ht="17.5" x14ac:dyDescent="0.45">
      <c r="A335" s="9"/>
      <c r="B335" s="277" t="s">
        <v>426</v>
      </c>
      <c r="C335" s="279" t="s">
        <v>80</v>
      </c>
      <c r="D335" s="713">
        <v>6.8</v>
      </c>
      <c r="E335" s="713">
        <v>6.01</v>
      </c>
      <c r="F335" s="713">
        <v>10.19</v>
      </c>
      <c r="G335" s="713">
        <v>5.59</v>
      </c>
      <c r="H335" s="713">
        <v>13.98</v>
      </c>
      <c r="I335" s="10"/>
      <c r="J335" s="9"/>
      <c r="K335" s="9"/>
      <c r="L335" s="9"/>
      <c r="M335" s="9"/>
      <c r="N335" s="9"/>
      <c r="O335" s="9"/>
      <c r="P335" s="9"/>
      <c r="Q335" s="9"/>
      <c r="R335" s="9"/>
    </row>
    <row r="336" spans="1:18" ht="17.5" x14ac:dyDescent="0.45">
      <c r="A336" s="9"/>
      <c r="B336" s="278"/>
      <c r="C336" s="262" t="s">
        <v>51</v>
      </c>
      <c r="D336" s="714">
        <v>4.66</v>
      </c>
      <c r="E336" s="714">
        <v>4.0259999999999998</v>
      </c>
      <c r="F336" s="714">
        <v>9.27</v>
      </c>
      <c r="G336" s="714">
        <v>3.12</v>
      </c>
      <c r="H336" s="714">
        <v>17.16</v>
      </c>
      <c r="I336" s="10"/>
      <c r="J336" s="9"/>
      <c r="K336" s="9"/>
      <c r="L336" s="9"/>
      <c r="M336" s="9"/>
      <c r="N336" s="9"/>
      <c r="O336" s="9"/>
      <c r="P336" s="9"/>
      <c r="Q336" s="9"/>
      <c r="R336" s="9"/>
    </row>
    <row r="337" spans="1:18" ht="17.5" x14ac:dyDescent="0.45">
      <c r="A337" s="9"/>
      <c r="B337" s="278"/>
      <c r="C337" s="262" t="s">
        <v>52</v>
      </c>
      <c r="D337" s="714">
        <v>8.41</v>
      </c>
      <c r="E337" s="714">
        <v>6.93</v>
      </c>
      <c r="F337" s="714">
        <v>12.51</v>
      </c>
      <c r="G337" s="714">
        <v>6.87</v>
      </c>
      <c r="H337" s="714">
        <v>18.13</v>
      </c>
      <c r="I337" s="10"/>
      <c r="J337" s="9"/>
      <c r="K337" s="9"/>
      <c r="L337" s="9"/>
      <c r="M337" s="9"/>
      <c r="N337" s="9"/>
      <c r="O337" s="9"/>
      <c r="P337" s="9"/>
      <c r="Q337" s="9"/>
      <c r="R337" s="9"/>
    </row>
    <row r="338" spans="1:18" ht="17.5" x14ac:dyDescent="0.45">
      <c r="A338" s="9"/>
      <c r="B338" s="278"/>
      <c r="C338" s="262" t="s">
        <v>53</v>
      </c>
      <c r="D338" s="714">
        <v>10.64</v>
      </c>
      <c r="E338" s="714">
        <v>11.74</v>
      </c>
      <c r="F338" s="714">
        <v>5.86</v>
      </c>
      <c r="G338" s="714">
        <v>11.16</v>
      </c>
      <c r="H338" s="714">
        <v>7.4</v>
      </c>
      <c r="I338" s="10"/>
      <c r="J338" s="9"/>
      <c r="K338" s="9"/>
      <c r="L338" s="9"/>
      <c r="M338" s="9"/>
      <c r="N338" s="9"/>
      <c r="O338" s="9"/>
      <c r="P338" s="9"/>
      <c r="Q338" s="9"/>
      <c r="R338" s="9"/>
    </row>
    <row r="339" spans="1:18" ht="18" thickBot="1" x14ac:dyDescent="0.5">
      <c r="A339" s="9"/>
      <c r="B339" s="237"/>
      <c r="C339" s="231" t="s">
        <v>92</v>
      </c>
      <c r="D339" s="715">
        <v>5.5</v>
      </c>
      <c r="E339" s="715">
        <v>4.6100000000000003</v>
      </c>
      <c r="F339" s="715">
        <v>6.56</v>
      </c>
      <c r="G339" s="715">
        <v>5.69</v>
      </c>
      <c r="H339" s="715">
        <v>5.49</v>
      </c>
      <c r="I339" s="10"/>
      <c r="J339" s="9"/>
      <c r="K339" s="9"/>
      <c r="L339" s="9"/>
      <c r="M339" s="9"/>
      <c r="N339" s="9"/>
      <c r="O339" s="9"/>
      <c r="P339" s="9"/>
      <c r="Q339" s="9"/>
      <c r="R339" s="9"/>
    </row>
    <row r="340" spans="1:18" ht="17.5" x14ac:dyDescent="0.45">
      <c r="A340" s="9"/>
      <c r="B340" s="277" t="s">
        <v>49</v>
      </c>
      <c r="C340" s="279" t="s">
        <v>80</v>
      </c>
      <c r="D340" s="716">
        <v>10.62</v>
      </c>
      <c r="E340" s="716">
        <v>18.350000000000001</v>
      </c>
      <c r="F340" s="716">
        <v>8.77</v>
      </c>
      <c r="G340" s="716">
        <v>8.9700000000000006</v>
      </c>
      <c r="H340" s="716">
        <v>20.16</v>
      </c>
      <c r="I340" s="107"/>
      <c r="J340" s="9"/>
      <c r="M340" s="9"/>
      <c r="N340" s="9"/>
      <c r="O340" s="9"/>
      <c r="P340" s="9"/>
      <c r="Q340" s="9"/>
      <c r="R340" s="9"/>
    </row>
    <row r="341" spans="1:18" ht="17.5" x14ac:dyDescent="0.45">
      <c r="A341" s="9"/>
      <c r="B341" s="278"/>
      <c r="C341" s="262" t="s">
        <v>51</v>
      </c>
      <c r="D341" s="940" t="s">
        <v>433</v>
      </c>
      <c r="E341" s="941"/>
      <c r="F341" s="941"/>
      <c r="G341" s="941"/>
      <c r="H341" s="942"/>
      <c r="I341" s="107"/>
      <c r="J341" s="9"/>
      <c r="M341" s="9"/>
      <c r="N341" s="9"/>
      <c r="O341" s="9"/>
      <c r="P341" s="9"/>
      <c r="Q341" s="9"/>
      <c r="R341" s="9"/>
    </row>
    <row r="342" spans="1:18" ht="17.5" x14ac:dyDescent="0.45">
      <c r="A342" s="9"/>
      <c r="B342" s="278"/>
      <c r="C342" s="262" t="s">
        <v>52</v>
      </c>
      <c r="D342" s="940"/>
      <c r="E342" s="941"/>
      <c r="F342" s="941"/>
      <c r="G342" s="941"/>
      <c r="H342" s="942"/>
      <c r="I342" s="107"/>
      <c r="J342" s="9"/>
      <c r="M342" s="9"/>
      <c r="N342" s="9"/>
      <c r="O342" s="9"/>
      <c r="P342" s="9"/>
      <c r="Q342" s="9"/>
      <c r="R342" s="9"/>
    </row>
    <row r="343" spans="1:18" ht="17.5" x14ac:dyDescent="0.45">
      <c r="A343" s="9"/>
      <c r="B343" s="278"/>
      <c r="C343" s="262" t="s">
        <v>53</v>
      </c>
      <c r="D343" s="940"/>
      <c r="E343" s="941"/>
      <c r="F343" s="941"/>
      <c r="G343" s="941"/>
      <c r="H343" s="942"/>
      <c r="I343" s="107"/>
      <c r="J343" s="9"/>
      <c r="M343" s="9"/>
      <c r="N343" s="9"/>
      <c r="O343" s="9"/>
      <c r="P343" s="9"/>
      <c r="Q343" s="9"/>
      <c r="R343" s="9"/>
    </row>
    <row r="344" spans="1:18" ht="17.5" x14ac:dyDescent="0.45">
      <c r="A344" s="9"/>
      <c r="B344" s="237"/>
      <c r="C344" s="231" t="s">
        <v>92</v>
      </c>
      <c r="D344" s="943"/>
      <c r="E344" s="944"/>
      <c r="F344" s="944"/>
      <c r="G344" s="944"/>
      <c r="H344" s="945"/>
      <c r="I344" s="107"/>
      <c r="J344" s="9"/>
      <c r="M344" s="9"/>
      <c r="N344" s="9"/>
      <c r="O344" s="9"/>
      <c r="P344" s="9"/>
      <c r="Q344" s="9"/>
      <c r="R344" s="9"/>
    </row>
    <row r="345" spans="1:18" x14ac:dyDescent="0.35">
      <c r="A345" s="9"/>
      <c r="B345" s="9"/>
      <c r="C345" s="9"/>
      <c r="D345" s="9"/>
      <c r="E345" s="9"/>
      <c r="F345" s="9"/>
      <c r="G345" s="9"/>
      <c r="H345" s="9"/>
      <c r="I345" s="9"/>
      <c r="J345" s="9"/>
      <c r="K345" s="9"/>
      <c r="L345" s="9"/>
      <c r="M345" s="9"/>
      <c r="N345" s="9"/>
      <c r="O345" s="9"/>
      <c r="P345" s="9"/>
      <c r="Q345" s="9"/>
      <c r="R345" s="9"/>
    </row>
    <row r="346" spans="1:18" s="632" customFormat="1" ht="21" x14ac:dyDescent="0.55000000000000004">
      <c r="B346" s="625" t="s">
        <v>265</v>
      </c>
      <c r="C346" s="625"/>
      <c r="D346" s="633"/>
      <c r="E346" s="633"/>
      <c r="F346" s="633"/>
      <c r="G346" s="633"/>
      <c r="H346" s="633"/>
      <c r="I346" s="633"/>
      <c r="K346" s="633"/>
    </row>
    <row r="347" spans="1:18" ht="5.5" customHeight="1" thickBot="1" x14ac:dyDescent="0.5">
      <c r="A347" s="9"/>
      <c r="B347" s="111"/>
      <c r="C347" s="111"/>
      <c r="D347" s="107"/>
      <c r="E347" s="107"/>
      <c r="F347" s="107"/>
      <c r="G347" s="107"/>
      <c r="H347" s="107"/>
      <c r="I347" s="107"/>
      <c r="J347" s="9"/>
      <c r="K347" s="9"/>
      <c r="L347" s="9"/>
      <c r="N347" s="9"/>
      <c r="O347" s="9"/>
      <c r="P347" s="9"/>
      <c r="Q347" s="9"/>
      <c r="R347" s="9"/>
    </row>
    <row r="348" spans="1:18" ht="16" x14ac:dyDescent="0.35">
      <c r="A348" s="9"/>
      <c r="B348" s="883" t="s">
        <v>401</v>
      </c>
      <c r="C348" s="883" t="s">
        <v>43</v>
      </c>
      <c r="D348" s="9"/>
      <c r="E348" s="9"/>
      <c r="F348" s="9"/>
      <c r="G348" s="9"/>
      <c r="H348" s="9"/>
      <c r="I348" s="9"/>
      <c r="J348" s="9"/>
      <c r="K348" s="9"/>
      <c r="L348" s="9"/>
      <c r="M348" s="9"/>
      <c r="N348" s="9"/>
      <c r="O348" s="9"/>
      <c r="P348" s="9"/>
      <c r="Q348" s="9"/>
      <c r="R348" s="9"/>
    </row>
    <row r="349" spans="1:18" ht="48" x14ac:dyDescent="0.45">
      <c r="A349" s="9"/>
      <c r="B349" s="262" t="s">
        <v>434</v>
      </c>
      <c r="C349" s="723">
        <v>0.95909999999999995</v>
      </c>
      <c r="D349" s="9"/>
      <c r="E349" s="9"/>
      <c r="F349" s="9"/>
      <c r="G349" s="9"/>
      <c r="H349" s="9"/>
      <c r="I349" s="9"/>
      <c r="J349" s="9"/>
      <c r="K349" s="9"/>
      <c r="L349" s="9"/>
      <c r="M349" s="9"/>
      <c r="N349" s="9"/>
      <c r="O349" s="9"/>
      <c r="P349" s="9"/>
      <c r="Q349" s="9"/>
      <c r="R349" s="9"/>
    </row>
    <row r="350" spans="1:18" ht="32" x14ac:dyDescent="0.45">
      <c r="A350" s="9"/>
      <c r="B350" s="262" t="s">
        <v>435</v>
      </c>
      <c r="C350" s="724">
        <v>1269</v>
      </c>
      <c r="D350" s="9"/>
      <c r="E350" s="9"/>
      <c r="F350" s="9"/>
      <c r="G350" s="9"/>
      <c r="H350" s="9"/>
      <c r="I350" s="9"/>
      <c r="J350" s="9"/>
      <c r="K350" s="9"/>
      <c r="L350" s="9"/>
      <c r="M350" s="9"/>
      <c r="N350" s="9"/>
      <c r="O350" s="9"/>
      <c r="P350" s="9"/>
      <c r="Q350" s="9"/>
      <c r="R350" s="9"/>
    </row>
    <row r="351" spans="1:18" ht="32" x14ac:dyDescent="0.45">
      <c r="A351" s="9"/>
      <c r="B351" s="262" t="s">
        <v>436</v>
      </c>
      <c r="C351" s="724">
        <v>593</v>
      </c>
      <c r="D351" s="9"/>
      <c r="E351" s="9"/>
      <c r="F351" s="9"/>
      <c r="G351" s="9"/>
      <c r="H351" s="9"/>
      <c r="I351" s="9"/>
      <c r="J351" s="9"/>
      <c r="K351" s="9"/>
      <c r="L351" s="9"/>
      <c r="M351" s="9"/>
      <c r="N351" s="9"/>
      <c r="O351" s="9"/>
      <c r="P351" s="9"/>
      <c r="Q351" s="9"/>
      <c r="R351" s="9"/>
    </row>
    <row r="352" spans="1:18" ht="32" x14ac:dyDescent="0.45">
      <c r="A352" s="9"/>
      <c r="B352" s="262" t="s">
        <v>437</v>
      </c>
      <c r="C352" s="724">
        <v>109</v>
      </c>
      <c r="D352" s="9"/>
      <c r="E352" s="9"/>
      <c r="F352" s="9"/>
      <c r="G352" s="9"/>
      <c r="H352" s="9"/>
      <c r="I352" s="9"/>
      <c r="J352" s="9"/>
      <c r="K352" s="9"/>
      <c r="L352" s="9"/>
      <c r="M352" s="9"/>
      <c r="N352" s="9"/>
      <c r="O352" s="9"/>
      <c r="P352" s="9"/>
      <c r="Q352" s="9"/>
      <c r="R352" s="9"/>
    </row>
    <row r="353" spans="1:18" ht="32.5" thickBot="1" x14ac:dyDescent="0.5">
      <c r="A353" s="9"/>
      <c r="B353" s="692" t="s">
        <v>438</v>
      </c>
      <c r="C353" s="725">
        <v>108</v>
      </c>
      <c r="D353" s="9"/>
      <c r="E353" s="9"/>
      <c r="F353" s="9"/>
      <c r="G353" s="9"/>
      <c r="H353" s="9"/>
      <c r="I353" s="9"/>
      <c r="J353" s="9"/>
      <c r="K353" s="9"/>
      <c r="L353" s="9"/>
      <c r="M353" s="9"/>
      <c r="N353" s="9"/>
      <c r="O353" s="9"/>
      <c r="P353" s="9"/>
      <c r="Q353" s="9"/>
      <c r="R353" s="9"/>
    </row>
    <row r="354" spans="1:18" x14ac:dyDescent="0.35">
      <c r="A354" s="9"/>
      <c r="B354" s="9"/>
      <c r="C354" s="9"/>
      <c r="D354" s="9"/>
      <c r="E354" s="9"/>
      <c r="F354" s="9"/>
      <c r="G354" s="9"/>
      <c r="H354" s="9"/>
      <c r="I354" s="9"/>
      <c r="J354" s="9"/>
      <c r="K354" s="9"/>
      <c r="L354" s="9"/>
      <c r="M354" s="9"/>
      <c r="N354" s="9"/>
      <c r="O354" s="9"/>
      <c r="P354" s="9"/>
      <c r="Q354" s="9"/>
      <c r="R354" s="9"/>
    </row>
    <row r="355" spans="1:18" s="632" customFormat="1" ht="21" x14ac:dyDescent="0.55000000000000004">
      <c r="B355" s="625" t="s">
        <v>39</v>
      </c>
      <c r="C355" s="625"/>
      <c r="D355" s="633"/>
      <c r="E355" s="633"/>
      <c r="F355" s="633"/>
      <c r="G355" s="633"/>
      <c r="H355" s="633"/>
      <c r="I355" s="633"/>
      <c r="K355" s="633"/>
    </row>
    <row r="356" spans="1:18" x14ac:dyDescent="0.35">
      <c r="B356" s="290" t="s">
        <v>439</v>
      </c>
    </row>
    <row r="357" spans="1:18" x14ac:dyDescent="0.35">
      <c r="B357" s="290" t="s">
        <v>440</v>
      </c>
    </row>
    <row r="358" spans="1:18" x14ac:dyDescent="0.35">
      <c r="B358" s="290" t="s">
        <v>441</v>
      </c>
    </row>
    <row r="359" spans="1:18" x14ac:dyDescent="0.35">
      <c r="B359" s="289" t="s">
        <v>442</v>
      </c>
    </row>
    <row r="360" spans="1:18" x14ac:dyDescent="0.35">
      <c r="B360" s="289" t="s">
        <v>443</v>
      </c>
    </row>
    <row r="361" spans="1:18" x14ac:dyDescent="0.35">
      <c r="B361" s="289" t="s">
        <v>444</v>
      </c>
    </row>
    <row r="362" spans="1:18" x14ac:dyDescent="0.35">
      <c r="B362" s="289" t="s">
        <v>445</v>
      </c>
    </row>
    <row r="363" spans="1:18" x14ac:dyDescent="0.35">
      <c r="A363" s="9"/>
      <c r="B363" s="290" t="s">
        <v>446</v>
      </c>
      <c r="D363" s="9"/>
      <c r="E363" s="9"/>
      <c r="F363" s="9"/>
      <c r="G363" s="9"/>
      <c r="H363" s="9"/>
      <c r="I363" s="9"/>
      <c r="J363" s="9"/>
      <c r="K363" s="9"/>
      <c r="L363" s="9"/>
      <c r="M363" s="9"/>
      <c r="N363" s="9"/>
      <c r="O363" s="9"/>
      <c r="P363" s="9"/>
      <c r="Q363" s="9"/>
      <c r="R363" s="9"/>
    </row>
    <row r="364" spans="1:18" x14ac:dyDescent="0.35">
      <c r="A364" s="9"/>
      <c r="B364" s="290" t="s">
        <v>447</v>
      </c>
      <c r="D364" s="9"/>
      <c r="E364" s="9"/>
      <c r="F364" s="9"/>
      <c r="G364" s="9"/>
      <c r="H364" s="9"/>
      <c r="I364" s="9"/>
      <c r="J364" s="9"/>
      <c r="K364" s="9"/>
      <c r="L364" s="9"/>
      <c r="M364" s="9"/>
      <c r="N364" s="9"/>
      <c r="O364" s="9"/>
      <c r="P364" s="9"/>
      <c r="Q364" s="9"/>
      <c r="R364" s="9"/>
    </row>
    <row r="365" spans="1:18" x14ac:dyDescent="0.35">
      <c r="A365" s="9"/>
      <c r="B365" s="719" t="s">
        <v>448</v>
      </c>
      <c r="D365" s="9"/>
      <c r="E365" s="9"/>
      <c r="F365" s="9"/>
      <c r="G365" s="9"/>
      <c r="H365" s="9"/>
      <c r="I365" s="9"/>
      <c r="J365" s="9"/>
      <c r="K365" s="9"/>
      <c r="L365" s="9"/>
      <c r="M365" s="9"/>
      <c r="N365" s="9"/>
      <c r="O365" s="9"/>
      <c r="P365" s="9"/>
      <c r="Q365" s="9"/>
      <c r="R365" s="9"/>
    </row>
    <row r="366" spans="1:18" x14ac:dyDescent="0.35">
      <c r="A366" s="9"/>
      <c r="B366" s="719" t="s">
        <v>449</v>
      </c>
      <c r="D366" s="9"/>
      <c r="E366" s="9"/>
      <c r="F366" s="9"/>
      <c r="G366" s="9"/>
      <c r="H366" s="9"/>
      <c r="I366" s="9"/>
      <c r="J366" s="9"/>
      <c r="K366" s="9"/>
      <c r="L366" s="9"/>
      <c r="M366" s="9"/>
      <c r="N366" s="9"/>
      <c r="O366" s="9"/>
      <c r="P366" s="9"/>
      <c r="Q366" s="9"/>
      <c r="R366" s="9"/>
    </row>
    <row r="367" spans="1:18" x14ac:dyDescent="0.35">
      <c r="A367" s="9"/>
      <c r="B367" s="719" t="s">
        <v>479</v>
      </c>
      <c r="D367" s="9"/>
      <c r="E367" s="9"/>
      <c r="F367" s="9"/>
      <c r="G367" s="9"/>
      <c r="H367" s="9"/>
      <c r="I367" s="9"/>
      <c r="J367" s="9"/>
      <c r="K367" s="9"/>
      <c r="L367" s="9"/>
      <c r="M367" s="9"/>
      <c r="N367" s="9"/>
      <c r="O367" s="9"/>
      <c r="P367" s="9"/>
      <c r="Q367" s="9"/>
      <c r="R367" s="9"/>
    </row>
    <row r="368" spans="1:18" x14ac:dyDescent="0.35">
      <c r="A368" s="9"/>
      <c r="D368" s="9"/>
      <c r="E368" s="9"/>
      <c r="F368" s="9"/>
      <c r="G368" s="9"/>
      <c r="H368" s="9"/>
      <c r="I368" s="9"/>
      <c r="J368" s="9"/>
      <c r="K368" s="9"/>
      <c r="L368" s="9"/>
      <c r="M368" s="9"/>
      <c r="N368" s="9"/>
      <c r="O368" s="9"/>
      <c r="P368" s="9"/>
      <c r="Q368" s="9"/>
      <c r="R368" s="9"/>
    </row>
    <row r="369" spans="1:18" x14ac:dyDescent="0.35">
      <c r="A369" s="9"/>
      <c r="D369" s="9"/>
      <c r="E369" s="9"/>
      <c r="F369" s="9"/>
      <c r="G369" s="9"/>
      <c r="H369" s="9"/>
      <c r="I369" s="9"/>
      <c r="J369" s="9"/>
      <c r="K369" s="9"/>
      <c r="L369" s="9"/>
      <c r="M369" s="9"/>
      <c r="N369" s="9"/>
      <c r="O369" s="9"/>
      <c r="P369" s="9"/>
      <c r="Q369" s="9"/>
      <c r="R369" s="9"/>
    </row>
  </sheetData>
  <mergeCells count="42">
    <mergeCell ref="D341:H344"/>
    <mergeCell ref="Q146:R146"/>
    <mergeCell ref="B272:C272"/>
    <mergeCell ref="B273:C273"/>
    <mergeCell ref="I146:J146"/>
    <mergeCell ref="G146:H146"/>
    <mergeCell ref="K146:L146"/>
    <mergeCell ref="M146:N146"/>
    <mergeCell ref="O146:P146"/>
    <mergeCell ref="B5:N5"/>
    <mergeCell ref="I118:J118"/>
    <mergeCell ref="I127:J127"/>
    <mergeCell ref="M118:N118"/>
    <mergeCell ref="G118:H118"/>
    <mergeCell ref="B127:B128"/>
    <mergeCell ref="M127:N127"/>
    <mergeCell ref="K118:L118"/>
    <mergeCell ref="K127:L127"/>
    <mergeCell ref="E118:F118"/>
    <mergeCell ref="B32:C32"/>
    <mergeCell ref="B118:B119"/>
    <mergeCell ref="B31:C31"/>
    <mergeCell ref="B27:C27"/>
    <mergeCell ref="B28:C28"/>
    <mergeCell ref="B29:C29"/>
    <mergeCell ref="B30:C30"/>
    <mergeCell ref="C118:D118"/>
    <mergeCell ref="B146:B147"/>
    <mergeCell ref="E127:F127"/>
    <mergeCell ref="E138:F138"/>
    <mergeCell ref="E146:F146"/>
    <mergeCell ref="C127:D127"/>
    <mergeCell ref="C146:D146"/>
    <mergeCell ref="Q138:R138"/>
    <mergeCell ref="I138:J138"/>
    <mergeCell ref="G127:H127"/>
    <mergeCell ref="G138:H138"/>
    <mergeCell ref="B138:B139"/>
    <mergeCell ref="C138:D138"/>
    <mergeCell ref="K138:L138"/>
    <mergeCell ref="M138:N138"/>
    <mergeCell ref="O138:P138"/>
  </mergeCells>
  <hyperlinks>
    <hyperlink ref="B7" location="Sharing_and_reusing_model_performance" display="Sharing and reusing model performance " xr:uid="{00000000-0004-0000-0100-000000000000}"/>
    <hyperlink ref="B8" location="Environmental_benefits_delivered_in_customers__supply_chains__15" display="Environmental benefits delivered in customers' supply chains" xr:uid="{00000000-0004-0000-0100-000001000000}"/>
    <hyperlink ref="B9" location="Customer_feedback" display="Customer feedback" xr:uid="{00000000-0004-0000-0100-000002000000}"/>
    <hyperlink ref="B10" location="People_performance____Employee_Stats__12" display="People performance - Employee Stats " xr:uid="{00000000-0004-0000-0100-000003000000}"/>
    <hyperlink ref="B11" location="Number_of_employees" display="Number of employees" xr:uid="{00000000-0004-0000-0100-000004000000}"/>
    <hyperlink ref="B12" location="Permanent_employees_by_gender__total_____male_female" display="Permanent employees by gender (total) (% male/female)" xr:uid="{00000000-0004-0000-0100-000005000000}"/>
    <hyperlink ref="B13" location="Permanent_employees_by_gender__management_positions__as_at_30_June____male_female" display="Permanent employees by gender (management positions) as at 30 June (% male/female)" xr:uid="{00000000-0004-0000-0100-000006000000}"/>
    <hyperlink ref="B14" location="Office_v_Plant_ratio__permanent_employees" display="Office v Plant ratio (permanent employees) (%)" xr:uid="{00000000-0004-0000-0100-000007000000}"/>
    <hyperlink ref="B15" location="Employees_by_employment_contract" display="Employees by employment contract (%)" xr:uid="{00000000-0004-0000-0100-000008000000}"/>
    <hyperlink ref="B16" location="Employees_by_employment_type" display="Employees by employment type (%)" xr:uid="{00000000-0004-0000-0100-000009000000}"/>
    <hyperlink ref="B17" location="Age_distribution_of_permanent_employees" display="Age distribution of permanent employees (%)" xr:uid="{00000000-0004-0000-0100-00000A000000}"/>
    <hyperlink ref="B18" location="Male__female_salary_ratios" display="Male: female salary ratios " xr:uid="{00000000-0004-0000-0100-00000B000000}"/>
    <hyperlink ref="B19" location="Group_employees_taking_parental_leave_during_the_Year" display="Group employees taking parental leave during the Year (%)" xr:uid="{00000000-0004-0000-0100-00000C000000}"/>
    <hyperlink ref="B20" location="Group_employees_returning_from_parental_leave_during_the_Year_as_a_percentage_of_those_who_took_parental_leave" display="Group employees returning from parental leave during the Year as a percentage of those who took parental leave (%)" xr:uid="{00000000-0004-0000-0100-00000D000000}"/>
    <hyperlink ref="H7" location="Group_employees_returning_to_work_after_parental_leave_during_the_Year" display="Group employees returning to work after parental leave during the Year (%)" xr:uid="{00000000-0004-0000-0100-00000E000000}"/>
    <hyperlink ref="H8" location="Voluntary_turnover_of_employees" display="Voluntary turnover of employees (%)" xr:uid="{00000000-0004-0000-0100-00000F000000}"/>
    <hyperlink ref="H9" location="Total_number_of_employee_hires" display="Total number of employee hires" xr:uid="{00000000-0004-0000-0100-000010000000}"/>
    <hyperlink ref="H10" location="Employee_hires_by_gender" display="Employee hires by gender (%)" xr:uid="{00000000-0004-0000-0100-000011000000}"/>
    <hyperlink ref="H12" location="Engagement__5" display="Engagement" xr:uid="{00000000-0004-0000-0100-000012000000}"/>
    <hyperlink ref="H13" location="Brambles_Injury_Frequency_Rate__BIFR" display="Brambles Injury Frequency Rate (BIFR)" xr:uid="{00000000-0004-0000-0100-000013000000}"/>
    <hyperlink ref="H14" location="BIFR_by_gender" display="BIFR by gender" xr:uid="{00000000-0004-0000-0100-000014000000}"/>
    <hyperlink ref="H15" location="BIFR_by_segment" display="BIFR by segment" xr:uid="{00000000-0004-0000-0100-000015000000}"/>
    <hyperlink ref="H18" location="Education__Training_and_Development" display="Education, Training and Development" xr:uid="{00000000-0004-0000-0100-000016000000}"/>
    <hyperlink ref="H19" location="Education__training_and_development_days" display="Education, training and development days" xr:uid="{00000000-0004-0000-0100-000017000000}"/>
    <hyperlink ref="H21" location="Footnotes" display="Footnotes" xr:uid="{00000000-0004-0000-0100-000018000000}"/>
    <hyperlink ref="H11" location="Employee_hires_by_age_group" display="Employee hires by age group (%)" xr:uid="{00000000-0004-0000-0100-000019000000}"/>
    <hyperlink ref="B24" location="FN1BB" display="Environmental benefits delivered in customers' supply chains [1] " xr:uid="{00000000-0004-0000-0100-00001A000000}"/>
    <hyperlink ref="L26" location="FNBP_2" display="FY16 [2]" xr:uid="{00000000-0004-0000-0100-00001B000000}"/>
    <hyperlink ref="B67" location="FNBP_3" display="FY16 [3]" xr:uid="{00000000-0004-0000-0100-00001D000000}"/>
    <hyperlink ref="G76" location="FNBP_4" display="FY18 [4] (exc IFCO)" xr:uid="{00000000-0004-0000-0100-00001E000000}"/>
    <hyperlink ref="B239" location="FNBP_5" display="Corporate [5]" xr:uid="{00000000-0004-0000-0100-000022000000}"/>
    <hyperlink ref="B270" location="FN11BB" display="Engagement [11]" xr:uid="{00000000-0004-0000-0100-000024000000}"/>
    <hyperlink ref="I272" location="FNBP_6" display="FY18 [6] (inc IFCO)" xr:uid="{00000000-0004-0000-0100-000025000000}"/>
    <hyperlink ref="B293" location="FN14BB" display="Pallets [14]" xr:uid="{00000000-0004-0000-0100-000027000000}"/>
    <hyperlink ref="J293" location="FN14BB" display="Pallets [14]" xr:uid="{00000000-0004-0000-0100-000028000000}"/>
    <hyperlink ref="J295" location="FN15BB" display="Containers[15]" xr:uid="{00000000-0004-0000-0100-000029000000}"/>
    <hyperlink ref="G26" location="FNBP_9" display="FY19 (exc IFCO) [9]" xr:uid="{D55F7B39-D52E-4D0C-A5EA-23737650C966}"/>
    <hyperlink ref="B314" location="FNBP_10" display="Education, training and development hours(10&amp;11)" xr:uid="{D026A9D4-0B37-4985-8637-67F49A5168E8}"/>
    <hyperlink ref="H16" location="'Better Business'!B296" display="Wellbeing" xr:uid="{E02722FA-B05E-4F22-A271-A49B4BFA93D1}"/>
    <hyperlink ref="H17" location="'Better Business'!B302" display="Inclusion &amp; Diversity" xr:uid="{D57F5ED0-819F-40CA-B5CF-03B13980BF49}"/>
    <hyperlink ref="H20" location="'Better Business'!B344" display="Responsible Supply Chain" xr:uid="{710C7E51-CEAF-4A74-BD4A-5D22DB0C74FA}"/>
    <hyperlink ref="E26" location="FNPB_12" display="FY20 (restated)" xr:uid="{BEC9CED7-0985-498D-9ADA-57C85C045310}"/>
    <hyperlink ref="B39" location="FNPB_12" display="FY20 (restated)" xr:uid="{8753D035-B05D-42FA-AE7B-51D504D4407B}"/>
  </hyperlinks>
  <pageMargins left="0.7" right="0.7" top="0.75" bottom="0.75" header="0.3" footer="0.3"/>
  <pageSetup paperSize="9" orientation="portrait" r:id="rId1"/>
  <drawing r:id="rId2"/>
  <legacyDrawing r:id="rId3"/>
  <oleObjects>
    <mc:AlternateContent xmlns:mc="http://schemas.openxmlformats.org/markup-compatibility/2006">
      <mc:Choice Requires="x14">
        <oleObject progId="Bitmap Image" shapeId="5121" r:id="rId4">
          <objectPr defaultSize="0" r:id="rId5">
            <anchor moveWithCells="1">
              <from>
                <xdr:col>8</xdr:col>
                <xdr:colOff>31750</xdr:colOff>
                <xdr:row>0</xdr:row>
                <xdr:rowOff>76200</xdr:rowOff>
              </from>
              <to>
                <xdr:col>9</xdr:col>
                <xdr:colOff>355600</xdr:colOff>
                <xdr:row>1</xdr:row>
                <xdr:rowOff>1123950</xdr:rowOff>
              </to>
            </anchor>
          </objectPr>
        </oleObject>
      </mc:Choice>
      <mc:Fallback>
        <oleObject progId="Bitmap Image" shapeId="5121" r:id="rId4"/>
      </mc:Fallback>
    </mc:AlternateContent>
  </oleObjec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00B0F0"/>
  </sheetPr>
  <dimension ref="A1:R41"/>
  <sheetViews>
    <sheetView showGridLines="0" zoomScaleNormal="100" workbookViewId="0">
      <selection activeCell="C4" sqref="C4"/>
    </sheetView>
  </sheetViews>
  <sheetFormatPr defaultColWidth="9" defaultRowHeight="15.5" x14ac:dyDescent="0.35"/>
  <cols>
    <col min="1" max="1" width="2.58203125" style="142" customWidth="1"/>
    <col min="2" max="2" width="30" customWidth="1"/>
    <col min="3" max="8" width="12" customWidth="1"/>
    <col min="9" max="9" width="11" customWidth="1"/>
    <col min="10" max="10" width="11.83203125" customWidth="1"/>
  </cols>
  <sheetData>
    <row r="1" spans="1:14" s="611" customFormat="1" x14ac:dyDescent="0.35">
      <c r="A1" s="610"/>
    </row>
    <row r="2" spans="1:14" s="611" customFormat="1" ht="99.65" customHeight="1" x14ac:dyDescent="0.35">
      <c r="A2" s="610"/>
      <c r="B2" s="612" t="s">
        <v>450</v>
      </c>
      <c r="C2" s="610"/>
      <c r="D2" s="610"/>
      <c r="E2" s="610"/>
      <c r="F2" s="610"/>
      <c r="G2" s="610"/>
      <c r="H2" s="610"/>
      <c r="I2" s="610"/>
      <c r="J2" s="610"/>
      <c r="K2" s="610"/>
      <c r="L2" s="610"/>
      <c r="M2" s="610"/>
      <c r="N2" s="610"/>
    </row>
    <row r="3" spans="1:14" x14ac:dyDescent="0.35">
      <c r="A3" s="9"/>
      <c r="B3" t="s">
        <v>1</v>
      </c>
      <c r="C3" s="732">
        <v>44462</v>
      </c>
      <c r="D3" s="9"/>
      <c r="E3" s="9"/>
      <c r="F3" s="9"/>
      <c r="G3" s="9"/>
      <c r="H3" s="9"/>
      <c r="I3" s="9"/>
      <c r="J3" s="9"/>
      <c r="K3" s="9"/>
      <c r="L3" s="9"/>
    </row>
    <row r="4" spans="1:14" x14ac:dyDescent="0.35">
      <c r="B4" s="150" t="s">
        <v>2</v>
      </c>
      <c r="C4" s="8"/>
      <c r="D4" s="9"/>
      <c r="E4" s="9"/>
      <c r="F4" s="9"/>
      <c r="G4" s="9"/>
      <c r="H4" s="9"/>
      <c r="I4" s="9"/>
      <c r="J4" s="9"/>
      <c r="K4" s="9"/>
      <c r="L4" s="9"/>
    </row>
    <row r="5" spans="1:14" x14ac:dyDescent="0.35">
      <c r="A5" s="9"/>
      <c r="B5" s="915" t="s">
        <v>3</v>
      </c>
      <c r="C5" s="915"/>
      <c r="D5" s="915"/>
      <c r="E5" s="915"/>
      <c r="F5" s="915"/>
      <c r="G5" s="915"/>
      <c r="H5" s="915"/>
      <c r="I5" s="915"/>
      <c r="J5" s="915"/>
      <c r="K5" s="915"/>
      <c r="L5" s="915"/>
      <c r="M5" s="915"/>
      <c r="N5" s="915"/>
    </row>
    <row r="6" spans="1:14" s="611" customFormat="1" ht="17.5" x14ac:dyDescent="0.35">
      <c r="B6" s="613" t="s">
        <v>4</v>
      </c>
    </row>
    <row r="7" spans="1:14" x14ac:dyDescent="0.35">
      <c r="B7" s="730" t="s">
        <v>451</v>
      </c>
      <c r="C7" s="142"/>
      <c r="D7" s="730" t="s">
        <v>452</v>
      </c>
    </row>
    <row r="8" spans="1:14" x14ac:dyDescent="0.35">
      <c r="B8" s="730" t="s">
        <v>453</v>
      </c>
      <c r="C8" s="142"/>
      <c r="D8" s="730" t="s">
        <v>454</v>
      </c>
    </row>
    <row r="10" spans="1:14" s="611" customFormat="1" ht="17.5" x14ac:dyDescent="0.45">
      <c r="A10" s="610"/>
      <c r="B10" s="613" t="s">
        <v>455</v>
      </c>
      <c r="C10" s="613"/>
      <c r="D10" s="614"/>
      <c r="E10" s="614"/>
      <c r="F10" s="614"/>
      <c r="G10" s="614"/>
      <c r="H10" s="614"/>
    </row>
    <row r="11" spans="1:14" ht="16" thickBot="1" x14ac:dyDescent="0.4"/>
    <row r="12" spans="1:14" ht="16" x14ac:dyDescent="0.35">
      <c r="B12" s="737" t="s">
        <v>456</v>
      </c>
      <c r="C12" s="735" t="s">
        <v>43</v>
      </c>
      <c r="D12" s="735" t="s">
        <v>44</v>
      </c>
    </row>
    <row r="13" spans="1:14" ht="16" x14ac:dyDescent="0.35">
      <c r="B13" s="214" t="s">
        <v>80</v>
      </c>
      <c r="C13" s="736">
        <v>17425891</v>
      </c>
      <c r="D13" s="736">
        <v>16096617</v>
      </c>
    </row>
    <row r="14" spans="1:14" ht="16" x14ac:dyDescent="0.35">
      <c r="B14" s="230" t="s">
        <v>51</v>
      </c>
      <c r="C14" s="738">
        <v>12294635</v>
      </c>
      <c r="D14" s="738">
        <v>11750303</v>
      </c>
    </row>
    <row r="15" spans="1:14" ht="16" x14ac:dyDescent="0.35">
      <c r="B15" s="230" t="s">
        <v>52</v>
      </c>
      <c r="C15" s="738">
        <v>2158414</v>
      </c>
      <c r="D15" s="738">
        <v>1541127</v>
      </c>
    </row>
    <row r="16" spans="1:14" ht="16.5" thickBot="1" x14ac:dyDescent="0.4">
      <c r="B16" s="231" t="s">
        <v>53</v>
      </c>
      <c r="C16" s="739">
        <v>2972842</v>
      </c>
      <c r="D16" s="739">
        <v>2805187</v>
      </c>
    </row>
    <row r="17" spans="1:13" ht="16" x14ac:dyDescent="0.35">
      <c r="B17" s="236"/>
    </row>
    <row r="18" spans="1:13" s="611" customFormat="1" ht="17.5" x14ac:dyDescent="0.45">
      <c r="A18" s="610"/>
      <c r="B18" s="613" t="s">
        <v>453</v>
      </c>
      <c r="C18" s="613"/>
      <c r="D18" s="614"/>
      <c r="E18" s="614"/>
      <c r="F18" s="614"/>
      <c r="G18" s="614"/>
      <c r="H18" s="614"/>
    </row>
    <row r="19" spans="1:13" ht="16" thickBot="1" x14ac:dyDescent="0.4"/>
    <row r="20" spans="1:13" ht="16.5" thickBot="1" x14ac:dyDescent="0.4">
      <c r="B20" s="737" t="s">
        <v>401</v>
      </c>
      <c r="C20" s="735" t="s">
        <v>43</v>
      </c>
    </row>
    <row r="21" spans="1:13" ht="32.5" thickBot="1" x14ac:dyDescent="0.4">
      <c r="B21" s="740" t="s">
        <v>457</v>
      </c>
      <c r="C21" s="741">
        <v>95159</v>
      </c>
    </row>
    <row r="23" spans="1:13" s="611" customFormat="1" ht="17.5" x14ac:dyDescent="0.45">
      <c r="A23" s="610"/>
      <c r="B23" s="613" t="s">
        <v>458</v>
      </c>
      <c r="C23" s="613"/>
      <c r="D23" s="614"/>
      <c r="E23" s="614"/>
      <c r="F23" s="614"/>
      <c r="G23" s="614"/>
      <c r="H23" s="614"/>
    </row>
    <row r="24" spans="1:13" ht="8.5" customHeight="1" thickBot="1" x14ac:dyDescent="0.5">
      <c r="B24" s="108"/>
      <c r="C24" s="108"/>
      <c r="D24" s="107"/>
      <c r="E24" s="107"/>
      <c r="F24" s="107"/>
      <c r="G24" s="107"/>
      <c r="H24" s="107"/>
      <c r="I24" s="9"/>
      <c r="J24" s="9"/>
      <c r="K24" s="9"/>
    </row>
    <row r="25" spans="1:13" ht="32" x14ac:dyDescent="0.35">
      <c r="B25" s="139"/>
      <c r="C25" s="126" t="s">
        <v>43</v>
      </c>
      <c r="D25" s="126" t="s">
        <v>44</v>
      </c>
      <c r="E25" s="126" t="s">
        <v>45</v>
      </c>
      <c r="F25" s="126" t="s">
        <v>46</v>
      </c>
      <c r="G25" s="126" t="s">
        <v>47</v>
      </c>
      <c r="H25" s="734" t="s">
        <v>459</v>
      </c>
      <c r="I25" s="126" t="s">
        <v>49</v>
      </c>
      <c r="J25" s="126" t="s">
        <v>50</v>
      </c>
      <c r="K25" s="9"/>
      <c r="L25" s="9"/>
      <c r="M25" s="9"/>
    </row>
    <row r="26" spans="1:13" ht="16" x14ac:dyDescent="0.35">
      <c r="B26" s="141" t="s">
        <v>460</v>
      </c>
      <c r="C26" s="357">
        <v>1007878.06</v>
      </c>
      <c r="D26" s="357" t="s">
        <v>461</v>
      </c>
      <c r="E26" s="357">
        <v>1056845.4422840299</v>
      </c>
      <c r="F26" s="357">
        <v>1143124.1409970298</v>
      </c>
      <c r="G26" s="357">
        <v>685712</v>
      </c>
      <c r="H26" s="110">
        <v>896067.11</v>
      </c>
      <c r="I26" s="110">
        <v>1248719.22</v>
      </c>
      <c r="J26" s="110">
        <v>1115743</v>
      </c>
      <c r="K26" s="9"/>
      <c r="L26" s="9"/>
      <c r="M26" s="9"/>
    </row>
    <row r="27" spans="1:13" ht="16" x14ac:dyDescent="0.35">
      <c r="B27" s="141" t="s">
        <v>462</v>
      </c>
      <c r="C27" s="357">
        <v>4063198</v>
      </c>
      <c r="D27" s="357" t="s">
        <v>463</v>
      </c>
      <c r="E27" s="357">
        <v>2781638.4377199882</v>
      </c>
      <c r="F27" s="357">
        <v>2866011.9162429883</v>
      </c>
      <c r="G27" s="357">
        <v>2492387</v>
      </c>
      <c r="H27" s="110">
        <v>2921204.4494742602</v>
      </c>
      <c r="I27" s="110">
        <v>2868418.27</v>
      </c>
      <c r="J27" s="110">
        <v>1540543</v>
      </c>
      <c r="K27" s="9"/>
      <c r="L27" s="9"/>
      <c r="M27" s="9"/>
    </row>
    <row r="28" spans="1:13" ht="16" x14ac:dyDescent="0.35">
      <c r="B28" s="141" t="s">
        <v>464</v>
      </c>
      <c r="C28" s="357">
        <v>424297</v>
      </c>
      <c r="D28" s="357" t="s">
        <v>465</v>
      </c>
      <c r="E28" s="357">
        <v>582544.04860765673</v>
      </c>
      <c r="F28" s="357">
        <v>591281.80556357966</v>
      </c>
      <c r="G28" s="357">
        <v>439778.52</v>
      </c>
      <c r="H28" s="110">
        <v>439778.52299559372</v>
      </c>
      <c r="I28" s="110">
        <v>424000</v>
      </c>
      <c r="J28" s="110">
        <v>400000</v>
      </c>
      <c r="K28" s="9"/>
      <c r="L28" s="9"/>
      <c r="M28" s="9"/>
    </row>
    <row r="29" spans="1:13" ht="16" x14ac:dyDescent="0.35">
      <c r="B29" s="140" t="s">
        <v>466</v>
      </c>
      <c r="C29" s="358">
        <v>5495373.0599999996</v>
      </c>
      <c r="D29" s="358" t="s">
        <v>467</v>
      </c>
      <c r="E29" s="358">
        <v>4421027.9286116753</v>
      </c>
      <c r="F29" s="358">
        <v>4600417.8628035979</v>
      </c>
      <c r="G29" s="358">
        <f>SUM(G26:G28)</f>
        <v>3617877.52</v>
      </c>
      <c r="H29" s="109">
        <f>SUM(H26:H28)</f>
        <v>4257050.0824698536</v>
      </c>
      <c r="I29" s="109">
        <f>SUM(I26:I28)</f>
        <v>4541137.49</v>
      </c>
      <c r="J29" s="109">
        <f>SUM(J26:J28)</f>
        <v>3056286</v>
      </c>
      <c r="K29" s="9"/>
      <c r="L29" s="9"/>
      <c r="M29" s="9"/>
    </row>
    <row r="30" spans="1:13" ht="16" x14ac:dyDescent="0.35">
      <c r="B30" s="143" t="s">
        <v>468</v>
      </c>
      <c r="C30" s="357">
        <v>793700000</v>
      </c>
      <c r="D30" s="357" t="s">
        <v>469</v>
      </c>
      <c r="E30" s="357">
        <v>652400000</v>
      </c>
      <c r="F30" s="357">
        <v>1726000000</v>
      </c>
      <c r="G30" s="357">
        <v>719050000</v>
      </c>
      <c r="H30" s="110">
        <v>881220000</v>
      </c>
      <c r="I30" s="110">
        <v>672700000</v>
      </c>
      <c r="J30" s="110">
        <v>801100000</v>
      </c>
      <c r="K30" s="9"/>
      <c r="L30" s="9"/>
      <c r="M30" s="9"/>
    </row>
    <row r="31" spans="1:13" ht="15.75" customHeight="1" thickBot="1" x14ac:dyDescent="0.4">
      <c r="B31" s="144" t="s">
        <v>470</v>
      </c>
      <c r="C31" s="356">
        <f>C29/C30</f>
        <v>6.9237407836714119E-3</v>
      </c>
      <c r="D31" s="356">
        <v>7.9000000000000008E-3</v>
      </c>
      <c r="E31" s="356">
        <f>E29/E30</f>
        <v>6.776560282973138E-3</v>
      </c>
      <c r="F31" s="356">
        <f>F29/F30</f>
        <v>2.6653637675571251E-3</v>
      </c>
      <c r="G31" s="356">
        <f>G29/G30</f>
        <v>5.0314686322230724E-3</v>
      </c>
      <c r="H31" s="145">
        <f>IFERROR(H29/H30,0)</f>
        <v>4.8308595838381487E-3</v>
      </c>
      <c r="I31" s="146">
        <f>I29/I30</f>
        <v>6.7506131856696896E-3</v>
      </c>
      <c r="J31" s="146">
        <f>J29/J30</f>
        <v>3.8151117213830982E-3</v>
      </c>
      <c r="K31" s="9"/>
      <c r="L31" s="9"/>
      <c r="M31" s="9"/>
    </row>
    <row r="32" spans="1:13" ht="17.5" x14ac:dyDescent="0.45">
      <c r="B32" s="111"/>
      <c r="C32" s="111"/>
      <c r="D32" s="112"/>
      <c r="E32" s="112"/>
      <c r="F32" s="107"/>
      <c r="G32" s="107"/>
      <c r="H32" s="107"/>
      <c r="I32" s="9"/>
      <c r="J32" s="9"/>
      <c r="K32" s="9"/>
    </row>
    <row r="33" spans="1:18" s="611" customFormat="1" ht="17.5" x14ac:dyDescent="0.45">
      <c r="A33" s="610"/>
      <c r="B33" s="613" t="s">
        <v>471</v>
      </c>
      <c r="C33" s="613"/>
      <c r="D33" s="614"/>
      <c r="E33" s="614"/>
      <c r="F33" s="614"/>
      <c r="G33" s="614"/>
      <c r="H33" s="614"/>
    </row>
    <row r="34" spans="1:18" ht="7.4" customHeight="1" thickBot="1" x14ac:dyDescent="0.5">
      <c r="B34" s="113"/>
      <c r="C34" s="113"/>
      <c r="D34" s="10"/>
      <c r="E34" s="10"/>
      <c r="F34" s="10"/>
      <c r="G34" s="10"/>
      <c r="H34" s="10"/>
    </row>
    <row r="35" spans="1:18" ht="32" x14ac:dyDescent="0.35">
      <c r="B35" s="137"/>
      <c r="C35" s="618" t="s">
        <v>280</v>
      </c>
      <c r="D35" s="618" t="s">
        <v>281</v>
      </c>
      <c r="E35" s="126" t="s">
        <v>45</v>
      </c>
      <c r="F35" s="126" t="s">
        <v>46</v>
      </c>
      <c r="G35" s="126" t="s">
        <v>47</v>
      </c>
      <c r="H35" s="126" t="s">
        <v>48</v>
      </c>
      <c r="I35" s="126" t="s">
        <v>49</v>
      </c>
      <c r="J35" s="126" t="s">
        <v>50</v>
      </c>
      <c r="K35" s="9"/>
      <c r="L35" s="9"/>
      <c r="M35" s="9"/>
    </row>
    <row r="36" spans="1:18" ht="15.75" customHeight="1" x14ac:dyDescent="0.35">
      <c r="B36" s="147" t="s">
        <v>472</v>
      </c>
      <c r="C36" s="733">
        <v>0.95</v>
      </c>
      <c r="D36" s="619">
        <v>1.42</v>
      </c>
      <c r="E36" s="467">
        <v>1.91</v>
      </c>
      <c r="F36" s="467">
        <v>1.7802599443266707</v>
      </c>
      <c r="G36" s="467">
        <v>1.68</v>
      </c>
      <c r="H36" s="467">
        <v>1.59</v>
      </c>
      <c r="I36" s="148">
        <v>1.25</v>
      </c>
      <c r="J36" s="148">
        <v>1.1499999999999999</v>
      </c>
      <c r="K36" s="9"/>
      <c r="L36" s="9"/>
      <c r="M36" s="9"/>
    </row>
    <row r="37" spans="1:18" ht="16.399999999999999" customHeight="1" thickBot="1" x14ac:dyDescent="0.4">
      <c r="B37" s="138" t="s">
        <v>473</v>
      </c>
      <c r="C37" s="620">
        <v>11404.49</v>
      </c>
      <c r="D37" s="620">
        <v>17020</v>
      </c>
      <c r="E37" s="621">
        <v>21602</v>
      </c>
      <c r="F37" s="621">
        <v>21904</v>
      </c>
      <c r="G37" s="621">
        <v>16876</v>
      </c>
      <c r="H37" s="621">
        <v>17426</v>
      </c>
      <c r="I37" s="622">
        <v>17221</v>
      </c>
      <c r="J37" s="622">
        <v>17214.650000000001</v>
      </c>
      <c r="K37" s="9"/>
      <c r="L37" s="9"/>
      <c r="M37" s="9"/>
    </row>
    <row r="38" spans="1:18" ht="16.399999999999999" customHeight="1" x14ac:dyDescent="0.35">
      <c r="B38" s="573"/>
      <c r="C38" s="576" t="s">
        <v>474</v>
      </c>
      <c r="D38" s="574"/>
      <c r="E38" s="574"/>
      <c r="F38" s="574"/>
      <c r="G38" s="574"/>
      <c r="H38" s="575"/>
      <c r="I38" s="575"/>
      <c r="J38" s="575"/>
      <c r="K38" s="9"/>
      <c r="L38" s="9"/>
      <c r="M38" s="9"/>
    </row>
    <row r="39" spans="1:18" ht="17.5" x14ac:dyDescent="0.45">
      <c r="B39" s="111"/>
      <c r="C39" s="111"/>
      <c r="D39" s="107"/>
      <c r="E39" s="107"/>
      <c r="F39" s="107"/>
      <c r="G39" s="107"/>
      <c r="H39" s="107"/>
      <c r="I39" s="9"/>
      <c r="J39" s="9"/>
      <c r="K39" s="9"/>
    </row>
    <row r="40" spans="1:18" s="615" customFormat="1" ht="21" x14ac:dyDescent="0.55000000000000004">
      <c r="B40" s="616" t="s">
        <v>39</v>
      </c>
      <c r="C40" s="616"/>
      <c r="D40" s="617"/>
      <c r="E40" s="617"/>
      <c r="F40" s="617"/>
      <c r="G40" s="617"/>
      <c r="H40" s="617"/>
      <c r="I40" s="617"/>
      <c r="K40" s="617"/>
    </row>
    <row r="41" spans="1:18" s="288" customFormat="1" ht="15.75" customHeight="1" x14ac:dyDescent="0.35">
      <c r="A41" s="208"/>
      <c r="B41" s="290" t="s">
        <v>475</v>
      </c>
      <c r="C41" s="287"/>
      <c r="D41" s="287"/>
      <c r="E41" s="287"/>
      <c r="F41" s="287"/>
      <c r="G41" s="287"/>
      <c r="H41" s="287"/>
      <c r="I41" s="287"/>
      <c r="J41" s="287"/>
      <c r="K41" s="287"/>
      <c r="L41" s="287"/>
      <c r="M41" s="287"/>
      <c r="N41" s="287"/>
      <c r="O41" s="287"/>
      <c r="P41" s="287"/>
      <c r="Q41" s="287"/>
      <c r="R41" s="287"/>
    </row>
  </sheetData>
  <mergeCells count="1">
    <mergeCell ref="B5:N5"/>
  </mergeCells>
  <hyperlinks>
    <hyperlink ref="D7" location="Brambles_community_investment__US" display="Brambles Commuity Investment " xr:uid="{00000000-0004-0000-0400-000000000000}"/>
    <hyperlink ref="D8" location="Volunteering_hours" display="Volunteering Hours" xr:uid="{00000000-0004-0000-0400-000001000000}"/>
    <hyperlink ref="H25" location="FNCP_01" display="FY18 [1] (inc IFCO)" xr:uid="{00000000-0004-0000-0400-000002000000}"/>
    <hyperlink ref="B7" location="'Better Communities'!B10" display="Food Positive" xr:uid="{1CB00A60-8F2D-41C4-8CB1-8E5690D5C505}"/>
    <hyperlink ref="B8" location="'Better Communities'!B18" display="Circular Economy Transformation" xr:uid="{10E8FFF3-E5C6-4C09-96EA-74BD41D1DD51}"/>
  </hyperlinks>
  <pageMargins left="0.7" right="0.7" top="0.75" bottom="0.75" header="0.3" footer="0.3"/>
  <pageSetup paperSize="9" orientation="portrait" horizontalDpi="4294967294" verticalDpi="0" r:id="rId1"/>
  <drawing r:id="rId2"/>
  <legacyDrawing r:id="rId3"/>
  <oleObjects>
    <mc:AlternateContent xmlns:mc="http://schemas.openxmlformats.org/markup-compatibility/2006">
      <mc:Choice Requires="x14">
        <oleObject progId="Bitmap Image" shapeId="4097" r:id="rId4">
          <objectPr defaultSize="0" r:id="rId5">
            <anchor moveWithCells="1">
              <from>
                <xdr:col>8</xdr:col>
                <xdr:colOff>12700</xdr:colOff>
                <xdr:row>0</xdr:row>
                <xdr:rowOff>76200</xdr:rowOff>
              </from>
              <to>
                <xdr:col>9</xdr:col>
                <xdr:colOff>412750</xdr:colOff>
                <xdr:row>1</xdr:row>
                <xdr:rowOff>1123950</xdr:rowOff>
              </to>
            </anchor>
          </objectPr>
        </oleObject>
      </mc:Choice>
      <mc:Fallback>
        <oleObject progId="Bitmap Image" shapeId="4097" r:id="rId4"/>
      </mc:Fallback>
    </mc:AlternateContent>
  </oleObjec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DF00ACD570787D4C851A47E1663C52A9" ma:contentTypeVersion="16" ma:contentTypeDescription="Create a new document." ma:contentTypeScope="" ma:versionID="5fd927f4d8100593ceb3145284097d44">
  <xsd:schema xmlns:xsd="http://www.w3.org/2001/XMLSchema" xmlns:xs="http://www.w3.org/2001/XMLSchema" xmlns:p="http://schemas.microsoft.com/office/2006/metadata/properties" xmlns:ns1="http://schemas.microsoft.com/sharepoint/v3" xmlns:ns3="e49ca97a-9158-418d-b2e5-45799e9c9182" xmlns:ns4="0f754d03-0424-4844-a9eb-e5654d8c7f00" targetNamespace="http://schemas.microsoft.com/office/2006/metadata/properties" ma:root="true" ma:fieldsID="509fe90566530f03f7361d54c856256f" ns1:_="" ns3:_="" ns4:_="">
    <xsd:import namespace="http://schemas.microsoft.com/sharepoint/v3"/>
    <xsd:import namespace="e49ca97a-9158-418d-b2e5-45799e9c9182"/>
    <xsd:import namespace="0f754d03-0424-4844-a9eb-e5654d8c7f00"/>
    <xsd:element name="properties">
      <xsd:complexType>
        <xsd:sequence>
          <xsd:element name="documentManagement">
            <xsd:complexType>
              <xsd:all>
                <xsd:element ref="ns3:SharedWithUsers" minOccurs="0"/>
                <xsd:element ref="ns3:SharingHintHash" minOccurs="0"/>
                <xsd:element ref="ns3:SharedWithDetails" minOccurs="0"/>
                <xsd:element ref="ns4:MediaServiceMetadata" minOccurs="0"/>
                <xsd:element ref="ns4:MediaServiceFastMetadata" minOccurs="0"/>
                <xsd:element ref="ns4:MediaServiceAutoTags" minOccurs="0"/>
                <xsd:element ref="ns4:MediaServiceOCR" minOccurs="0"/>
                <xsd:element ref="ns4:MediaServiceDateTaken" minOccurs="0"/>
                <xsd:element ref="ns4:MediaServiceLocation" minOccurs="0"/>
                <xsd:element ref="ns4:MediaServiceGenerationTime" minOccurs="0"/>
                <xsd:element ref="ns4:MediaServiceEventHashCode" minOccurs="0"/>
                <xsd:element ref="ns4:MediaServiceAutoKeyPoints" minOccurs="0"/>
                <xsd:element ref="ns4:MediaServiceKeyPoints" minOccurs="0"/>
                <xsd:element ref="ns4:MediaLengthInSeconds"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2" nillable="true" ma:displayName="Unified Compliance Policy Properties" ma:hidden="true" ma:internalName="_ip_UnifiedCompliancePolicyProperties">
      <xsd:simpleType>
        <xsd:restriction base="dms:Note"/>
      </xsd:simpleType>
    </xsd:element>
    <xsd:element name="_ip_UnifiedCompliancePolicyUIAction" ma:index="23"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49ca97a-9158-418d-b2e5-45799e9c9182"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ingHintHash" ma:index="9" nillable="true" ma:displayName="Sharing Hint Hash" ma:internalName="SharingHintHash" ma:readOnly="true">
      <xsd:simpleType>
        <xsd:restriction base="dms:Text"/>
      </xsd:simpleType>
    </xsd:element>
    <xsd:element name="SharedWithDetails" ma:index="10" nillable="true" ma:displayName="Shared With Details"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f754d03-0424-4844-a9eb-e5654d8c7f00"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LengthInSeconds" ma:index="21" nillable="true" ma:displayName="Length (seconds)"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3680317-E6EC-492D-80D5-811EAC7258C8}">
  <ds:schemaRefs>
    <ds:schemaRef ds:uri="http://purl.org/dc/elements/1.1/"/>
    <ds:schemaRef ds:uri="http://schemas.microsoft.com/sharepoint/v3"/>
    <ds:schemaRef ds:uri="http://schemas.microsoft.com/office/2006/documentManagement/types"/>
    <ds:schemaRef ds:uri="http://www.w3.org/XML/1998/namespace"/>
    <ds:schemaRef ds:uri="http://schemas.microsoft.com/office/2006/metadata/properties"/>
    <ds:schemaRef ds:uri="http://purl.org/dc/terms/"/>
    <ds:schemaRef ds:uri="e49ca97a-9158-418d-b2e5-45799e9c9182"/>
    <ds:schemaRef ds:uri="http://schemas.microsoft.com/office/infopath/2007/PartnerControls"/>
    <ds:schemaRef ds:uri="http://schemas.openxmlformats.org/package/2006/metadata/core-properties"/>
    <ds:schemaRef ds:uri="0f754d03-0424-4844-a9eb-e5654d8c7f00"/>
    <ds:schemaRef ds:uri="http://purl.org/dc/dcmitype/"/>
  </ds:schemaRefs>
</ds:datastoreItem>
</file>

<file path=customXml/itemProps2.xml><?xml version="1.0" encoding="utf-8"?>
<ds:datastoreItem xmlns:ds="http://schemas.openxmlformats.org/officeDocument/2006/customXml" ds:itemID="{E108CFF8-7CD2-4692-8142-E6FB8FED6AB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e49ca97a-9158-418d-b2e5-45799e9c9182"/>
    <ds:schemaRef ds:uri="0f754d03-0424-4844-a9eb-e5654d8c7f0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4DE3C90-3FE5-4935-B6A0-F3F756130A1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105</vt:i4>
      </vt:variant>
    </vt:vector>
  </HeadingPairs>
  <TitlesOfParts>
    <vt:vector size="110" baseType="lpstr">
      <vt:lpstr>Sustainability Framework</vt:lpstr>
      <vt:lpstr>Planet Positive</vt:lpstr>
      <vt:lpstr>Emissions Water &amp; Waste Detail</vt:lpstr>
      <vt:lpstr>Business Positive</vt:lpstr>
      <vt:lpstr>Communities Positive</vt:lpstr>
      <vt:lpstr>Age_distribution_of_permanent_employees</vt:lpstr>
      <vt:lpstr>BBFootnotes</vt:lpstr>
      <vt:lpstr>BIFR_by_gender</vt:lpstr>
      <vt:lpstr>BIFR_by_segment</vt:lpstr>
      <vt:lpstr>BPFootnote</vt:lpstr>
      <vt:lpstr>Brambles_community_investment__US</vt:lpstr>
      <vt:lpstr>Brambles_Injury_Frequency_Rate__BIFR</vt:lpstr>
      <vt:lpstr>Brambles’_recycling_efforts__excluding_reclaimed___metric_tonnes</vt:lpstr>
      <vt:lpstr>Customer_feedback</vt:lpstr>
      <vt:lpstr>Detailedemissions</vt:lpstr>
      <vt:lpstr>DetailedGHGDetail</vt:lpstr>
      <vt:lpstr>DetailedIntensity</vt:lpstr>
      <vt:lpstr>DetailedktCO2e</vt:lpstr>
      <vt:lpstr>DetailedRainwater_harvested__megalitres</vt:lpstr>
      <vt:lpstr>DetailedWaste</vt:lpstr>
      <vt:lpstr>DetailedWaste1</vt:lpstr>
      <vt:lpstr>DetailedWater</vt:lpstr>
      <vt:lpstr>DetailedWaterConsumed</vt:lpstr>
      <vt:lpstr>DetailedWaterRecycled</vt:lpstr>
      <vt:lpstr>Detergent_purchased_for_washing_of_pallets__RPCs_and_containers</vt:lpstr>
      <vt:lpstr>Education__Training_and_Development</vt:lpstr>
      <vt:lpstr>Education__training_and_development_days</vt:lpstr>
      <vt:lpstr>Emissions_intensity__kg_per_unit</vt:lpstr>
      <vt:lpstr>Employee_hires_by_age_group</vt:lpstr>
      <vt:lpstr>Employee_hires_by_gender</vt:lpstr>
      <vt:lpstr>Employees_by_employment_contract</vt:lpstr>
      <vt:lpstr>Employees_by_employment_type</vt:lpstr>
      <vt:lpstr>Energy_and_Emissions</vt:lpstr>
      <vt:lpstr>Engagement__5</vt:lpstr>
      <vt:lpstr>Environmental_benefits_delivered_in_customers__supply_chains__15</vt:lpstr>
      <vt:lpstr>FNBP_1</vt:lpstr>
      <vt:lpstr>FNBP_10</vt:lpstr>
      <vt:lpstr>FNBP_11</vt:lpstr>
      <vt:lpstr>FNBP_2</vt:lpstr>
      <vt:lpstr>FNBP_3</vt:lpstr>
      <vt:lpstr>FNBP_4</vt:lpstr>
      <vt:lpstr>FNBP_5</vt:lpstr>
      <vt:lpstr>FNBP_6</vt:lpstr>
      <vt:lpstr>FNBP_7</vt:lpstr>
      <vt:lpstr>FNBP_8</vt:lpstr>
      <vt:lpstr>FNBP_9</vt:lpstr>
      <vt:lpstr>FNCP_01</vt:lpstr>
      <vt:lpstr>FNPB_12</vt:lpstr>
      <vt:lpstr>FNPP_1</vt:lpstr>
      <vt:lpstr>FNPP_10</vt:lpstr>
      <vt:lpstr>FNPP_11</vt:lpstr>
      <vt:lpstr>FNPP_12</vt:lpstr>
      <vt:lpstr>FNPP_13</vt:lpstr>
      <vt:lpstr>FNPP_14</vt:lpstr>
      <vt:lpstr>FNPP_15</vt:lpstr>
      <vt:lpstr>FNPP_16</vt:lpstr>
      <vt:lpstr>FNPP_17</vt:lpstr>
      <vt:lpstr>FNPP_18</vt:lpstr>
      <vt:lpstr>FNPP_19</vt:lpstr>
      <vt:lpstr>FNPP_2</vt:lpstr>
      <vt:lpstr>FNPP_20</vt:lpstr>
      <vt:lpstr>FNPP_21</vt:lpstr>
      <vt:lpstr>FNPP_3</vt:lpstr>
      <vt:lpstr>FNPP_4</vt:lpstr>
      <vt:lpstr>FNPP_5</vt:lpstr>
      <vt:lpstr>FNPP_6</vt:lpstr>
      <vt:lpstr>FNPP_7</vt:lpstr>
      <vt:lpstr>FNPP_8</vt:lpstr>
      <vt:lpstr>FNPP_9</vt:lpstr>
      <vt:lpstr>Footnotes</vt:lpstr>
      <vt:lpstr>General_waste__recycling_and_hazardous_waste__metric_tonnes</vt:lpstr>
      <vt:lpstr>GHG_generation_by_source</vt:lpstr>
      <vt:lpstr>Global_insights_relationship_survey</vt:lpstr>
      <vt:lpstr>Greenhouse_gas__GHG__emissions__detail</vt:lpstr>
      <vt:lpstr>Greenhouse_gas__GHG__emissions__Scope_3</vt:lpstr>
      <vt:lpstr>Group_employees_returning_from_parental_leave_during_the_Year_as_a_percentage_of_those_who_took_parental_leave</vt:lpstr>
      <vt:lpstr>Group_employees_returning_to_work_after_parental_leave_during_the_Year</vt:lpstr>
      <vt:lpstr>Group_employees_taking_parental_leave_during_the_Year</vt:lpstr>
      <vt:lpstr>Kilotonnes__kt__of_CO2_e__4___Scope_1_and_2</vt:lpstr>
      <vt:lpstr>Male__female_salary_ratios</vt:lpstr>
      <vt:lpstr>NatRes</vt:lpstr>
      <vt:lpstr>Number_of_employees</vt:lpstr>
      <vt:lpstr>Office_v_Plant_ratio__permanent_employees</vt:lpstr>
      <vt:lpstr>Offset_Credits_Purchased___Through_Carbon_Neutral_Pallet_Promotion__8</vt:lpstr>
      <vt:lpstr>People_performance____Employee_Stats__12</vt:lpstr>
      <vt:lpstr>Permanent_employees_by_gender__management_positions__as_at_30_June____male_female</vt:lpstr>
      <vt:lpstr>Permanent_employees_by_gender__total_____male_female</vt:lpstr>
      <vt:lpstr>Plastic_purchased_for_manufacture_of_RPCs</vt:lpstr>
      <vt:lpstr>Plastic_recovered_and_reused_in_manufacture_of_RPCs__metric_tonnes</vt:lpstr>
      <vt:lpstr>PlasticVol</vt:lpstr>
      <vt:lpstr>Purchase_of_Credits</vt:lpstr>
      <vt:lpstr>Rainwater_harvested__megalitres___16</vt:lpstr>
      <vt:lpstr>Renewable_Energy_Certificate_Credits_Purchased___Covering_Scope_2_emissions__9</vt:lpstr>
      <vt:lpstr>Sharing_and_reusing_model_performance</vt:lpstr>
      <vt:lpstr>Terajoules__TJ__of_energy__Scope_1_and_2</vt:lpstr>
      <vt:lpstr>Total_number_of_employee_hires</vt:lpstr>
      <vt:lpstr>Volume_of_detergent__litres</vt:lpstr>
      <vt:lpstr>Volume_of_plastic__tonnes</vt:lpstr>
      <vt:lpstr>Volume_of_wood_by_classification_and_segment_for_the_Year</vt:lpstr>
      <vt:lpstr>Voluntary_turnover_of_employees</vt:lpstr>
      <vt:lpstr>Volunteering_hours</vt:lpstr>
      <vt:lpstr>Waste_and_recycling</vt:lpstr>
      <vt:lpstr>Water</vt:lpstr>
      <vt:lpstr>Water_consumed__megalitres___15</vt:lpstr>
      <vt:lpstr>Water_discharged__megalitres___16</vt:lpstr>
      <vt:lpstr>Water_recycled__megalitres</vt:lpstr>
      <vt:lpstr>Wood_reclaimed__Pallets___metric_tonnes</vt:lpstr>
      <vt:lpstr>Wood_volume__m3__by_forest_source_certification</vt:lpstr>
      <vt:lpstr>Wood_volume_by_continent_of_origin</vt:lpstr>
      <vt:lpstr>WoodVol</vt:lpstr>
    </vt:vector>
  </TitlesOfParts>
  <Manager/>
  <Company>Jennifer Lorance Consulting</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Brambles 5 Year Performanc Data</dc:title>
  <dc:subject/>
  <dc:creator>Jennifer Lorance</dc:creator>
  <cp:keywords>v4</cp:keywords>
  <dc:description/>
  <cp:lastModifiedBy>Mocquard, Hugo</cp:lastModifiedBy>
  <cp:revision/>
  <dcterms:created xsi:type="dcterms:W3CDTF">2016-09-12T01:46:21Z</dcterms:created>
  <dcterms:modified xsi:type="dcterms:W3CDTF">2022-06-21T07:36:42Z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0x010100DF00ACD570787D4C851A47E1663C52A9</vt:lpwstr>
  </property>
</Properties>
</file>