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gif" ContentType="image/gif"/>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126"/>
  <workbookPr showInkAnnotation="0" autoCompressPictures="0"/>
  <mc:AlternateContent xmlns:mc="http://schemas.openxmlformats.org/markup-compatibility/2006">
    <mc:Choice Requires="x15">
      <x15ac:absPath xmlns:x15ac="http://schemas.microsoft.com/office/spreadsheetml/2010/11/ac" url="C:\Users\mocquah\OneDrive - Brambles\Documents\5 year performance\"/>
    </mc:Choice>
  </mc:AlternateContent>
  <xr:revisionPtr revIDLastSave="0" documentId="10_ncr:100000_{D33880EC-11AD-4939-91CD-95094F8B29C7}" xr6:coauthVersionLast="31" xr6:coauthVersionMax="31" xr10:uidLastSave="{00000000-0000-0000-0000-000000000000}"/>
  <bookViews>
    <workbookView xWindow="17390" yWindow="0" windowWidth="27290" windowHeight="22920" tabRatio="599" activeTab="1" xr2:uid="{00000000-000D-0000-FFFF-FFFF00000000}"/>
  </bookViews>
  <sheets>
    <sheet name="Sustainability Framework" sheetId="4" r:id="rId1"/>
    <sheet name="Better Business" sheetId="5" r:id="rId2"/>
    <sheet name="Better Planet" sheetId="6" r:id="rId3"/>
    <sheet name="Emissions Water &amp; Waste Detail" sheetId="8" state="hidden" r:id="rId4"/>
    <sheet name="Better Communities" sheetId="7" r:id="rId5"/>
  </sheets>
  <definedNames>
    <definedName name="Age_distribution_of_permanent_employees">'Better Business'!$B$150</definedName>
    <definedName name="BB_01">#REF!</definedName>
    <definedName name="BB_02">#REF!</definedName>
    <definedName name="BB_03">#REF!</definedName>
    <definedName name="BB_05">#REF!</definedName>
    <definedName name="BB_08">#REF!</definedName>
    <definedName name="BB_09">#REF!</definedName>
    <definedName name="BB_10">#REF!</definedName>
    <definedName name="BB_11">#REF!</definedName>
    <definedName name="BB_12">#REF!</definedName>
    <definedName name="BB_13">#REF!</definedName>
    <definedName name="BB_14">#REF!</definedName>
    <definedName name="BB_15">#REF!</definedName>
    <definedName name="BB_16">#REF!</definedName>
    <definedName name="BB_17">#REF!</definedName>
    <definedName name="BB_18">#REF!</definedName>
    <definedName name="BB_19">#REF!</definedName>
    <definedName name="BB_20">#REF!</definedName>
    <definedName name="BB_21">#REF!</definedName>
    <definedName name="BB_22">#REF!</definedName>
    <definedName name="BBFootnotes">'Better Business'!$B$340</definedName>
    <definedName name="BC_01">#REF!</definedName>
    <definedName name="BIFR_by_gender">'Better Business'!$B$276</definedName>
    <definedName name="BIFR_by_segment">'Better Business'!$B$282</definedName>
    <definedName name="BP_01">#REF!</definedName>
    <definedName name="BP_02">#REF!</definedName>
    <definedName name="BP_03">#REF!</definedName>
    <definedName name="BP_04">#REF!</definedName>
    <definedName name="BP_05">#REF!</definedName>
    <definedName name="BP_06">#REF!</definedName>
    <definedName name="BP_07">#REF!</definedName>
    <definedName name="BP_08">#REF!</definedName>
    <definedName name="BP_09">#REF!</definedName>
    <definedName name="BP_10">#REF!</definedName>
    <definedName name="BP_11">#REF!</definedName>
    <definedName name="BP_12">#REF!</definedName>
    <definedName name="BP_13">#REF!</definedName>
    <definedName name="BP_14">#REF!</definedName>
    <definedName name="BP_15">#REF!</definedName>
    <definedName name="BP_16">#REF!</definedName>
    <definedName name="BP_17">#REF!</definedName>
    <definedName name="BP_18">#REF!</definedName>
    <definedName name="BP_19">#REF!</definedName>
    <definedName name="BP_20">#REF!</definedName>
    <definedName name="BP_21">#REF!</definedName>
    <definedName name="BP_22">#REF!</definedName>
    <definedName name="BP_23">#REF!</definedName>
    <definedName name="BPFootnote">'Better Planet'!$B$432</definedName>
    <definedName name="Brambles_community_investment__US">'Better Communities'!$B$10</definedName>
    <definedName name="Brambles_Injury_Frequency_Rate__BIFR">'Better Business'!$B$271</definedName>
    <definedName name="Brambles’_recycling_efforts__excluding_reclaimed___metric_tonnes">'Better Planet'!$B$357</definedName>
    <definedName name="Customer_feedback">'Better Business'!$B$71</definedName>
    <definedName name="Detailedemissions">'Emissions Water &amp; Waste Detail'!$B$48</definedName>
    <definedName name="DetailedGHGDetail">'Emissions Water &amp; Waste Detail'!$B$72</definedName>
    <definedName name="DetailedIntensity">'Emissions Water &amp; Waste Detail'!$B$61</definedName>
    <definedName name="DetailedktCO2e">'Emissions Water &amp; Waste Detail'!$B$50</definedName>
    <definedName name="DetailedRainwater_harvested__megalitres">'Emissions Water &amp; Waste Detail'!$B$37</definedName>
    <definedName name="DetailedWaste">'Emissions Water &amp; Waste Detail'!$B$127</definedName>
    <definedName name="DetailedWaste1">'Emissions Water &amp; Waste Detail'!$B$125</definedName>
    <definedName name="DetailedWater">'Emissions Water &amp; Waste Detail'!$B$13</definedName>
    <definedName name="DetailedWaterConsumed">'Emissions Water &amp; Waste Detail'!$B$15</definedName>
    <definedName name="DetailedWaterRecycled">'Emissions Water &amp; Waste Detail'!$B$26</definedName>
    <definedName name="Detergent_purchased_for_washing_of_pallets__RPCs_and_containers">'Better Planet'!$B$118</definedName>
    <definedName name="Education__Training_and_Development">'Better Business'!$B$293</definedName>
    <definedName name="Education__training_and_development_days">'Better Business'!$B$295</definedName>
    <definedName name="Emissions_intensity__kg_per_unit">'Better Planet'!$B$185</definedName>
    <definedName name="Employee_hires_by_age_group">'Better Business'!$B$254</definedName>
    <definedName name="Employee_hires_by_gender">'Better Business'!$B$248</definedName>
    <definedName name="Employees_by_employment_contract">'Better Business'!$B$134</definedName>
    <definedName name="Employees_by_employment_type">'Better Business'!$B$142</definedName>
    <definedName name="Energy_and_Emissions">'Better Planet'!$B$165</definedName>
    <definedName name="Engagement__5">'Better Business'!$B$264</definedName>
    <definedName name="Environmental_benefits_delivered_in_customers__supply_chains__15">'Better Business'!$B$24</definedName>
    <definedName name="FB2BB">'Better Business'!$B$342</definedName>
    <definedName name="FB5BP">'Better Planet'!$B$437</definedName>
    <definedName name="FN10BB">'Better Business'!$B$350</definedName>
    <definedName name="FN11BB">'Better Business'!$B$351</definedName>
    <definedName name="FN12BB">'Better Business'!$B$352</definedName>
    <definedName name="FN13BB">'Better Business'!$B$353</definedName>
    <definedName name="FN14BB">'Better Business'!$B$354</definedName>
    <definedName name="FN15BB">'Better Business'!$B$355</definedName>
    <definedName name="FN16BB">'Better Business'!$B$356</definedName>
    <definedName name="FN17BB">'Better Business'!$B$357</definedName>
    <definedName name="FN1BB">'Better Business'!$B$341</definedName>
    <definedName name="FN1BP">'Better Planet'!$B$433</definedName>
    <definedName name="FN2BB">'Better Business'!$B$342</definedName>
    <definedName name="FN2BP">'Better Planet'!$B$434</definedName>
    <definedName name="FN3BB">'Better Business'!$B$343</definedName>
    <definedName name="FN3BP">'Better Planet'!$B$435</definedName>
    <definedName name="FN4BB">'Better Business'!$B$344</definedName>
    <definedName name="FN4BP">'Better Planet'!$B$436</definedName>
    <definedName name="FN5BB">'Better Business'!$B$345</definedName>
    <definedName name="FN5BP">'Better Planet'!$B$437</definedName>
    <definedName name="FN6BB">'Better Business'!$B$346</definedName>
    <definedName name="FN6BP">'Better Planet'!$B$438</definedName>
    <definedName name="FN7BB">'Better Business'!$B$347</definedName>
    <definedName name="FN7BP">'Better Planet'!$B$439</definedName>
    <definedName name="FN8BB">'Better Business'!$B$348</definedName>
    <definedName name="FN9BB">'Better Business'!$B$349</definedName>
    <definedName name="Footnotes">'Better Business'!$B$340</definedName>
    <definedName name="General_waste__recycling_and_hazardous_waste__metric_tonnes">'Better Planet'!$B$312</definedName>
    <definedName name="GHG_generation_by_source">'Better Planet'!$B$258</definedName>
    <definedName name="Global_insights_relationship_survey">'Better Business'!$B$73</definedName>
    <definedName name="Greenhouse_gas__GHG__emissions__detail">'Better Planet'!$B$193</definedName>
    <definedName name="Greenhouse_gas__GHG__emissions__Scope_3">'Better Planet'!$B$268</definedName>
    <definedName name="Group_employees_returning_from_parental_leave_during_the_Year_as_a_percentage_of_those_who_took_parental_leave">'Better Business'!$B$212</definedName>
    <definedName name="Group_employees_returning_to_work_after_parental_leave_during_the_Year">'Better Business'!$B$219</definedName>
    <definedName name="Group_employees_taking_parental_leave_during_the_Year">'Better Business'!$B$205</definedName>
    <definedName name="Kilotonnes__kt__of_CO2_e__4___Scope_1_and_2">'Better Planet'!$B$167</definedName>
    <definedName name="Male__female_salary_ratios">'Better Business'!$B$198</definedName>
    <definedName name="NatRes">'Better Planet'!$B$23</definedName>
    <definedName name="Number_of_employees">'Better Business'!$B$81</definedName>
    <definedName name="Office_v_Plant_ratio__permanent_employees">'Better Business'!$B$114</definedName>
    <definedName name="Offset_Credits_Purchased___Through_Carbon_Neutral_Pallet_Promotion__8">'Better Planet'!$B$404</definedName>
    <definedName name="People_performance____Employee_Stats__12">'Better Business'!$B$79</definedName>
    <definedName name="Permanent_employees_by_gender__management_positions__as_at_30_June____male_female">'Better Business'!$B$103</definedName>
    <definedName name="Permanent_employees_by_gender__total_____male_female">'Better Business'!$B$92</definedName>
    <definedName name="Plastic_purchased_for_manufacture_of_RPCs">'Better Planet'!$B$107</definedName>
    <definedName name="Plastic_recovered_and_reused_in_manufacture_of_RPCs__metric_tonnes">'Better Planet'!$B$395</definedName>
    <definedName name="PlasticVol">'Better Planet'!$B$395</definedName>
    <definedName name="Purchase_of_Credits">'Better Planet'!$B$402</definedName>
    <definedName name="Rainwater_harvested__megalitres___16">'Better Planet'!$B$157</definedName>
    <definedName name="Renewable_Energy_Certificate_Credits_Purchased___Covering_Scope_2_emissions__9">'Better Planet'!$B$422</definedName>
    <definedName name="Sharing_and_reusing_model_performance">'Better Business'!$B$22</definedName>
    <definedName name="Terajoules__TJ__of_energy__Scope_1_and_2">'Better Planet'!$B$176</definedName>
    <definedName name="Total_number_of_employee_hires">'Better Business'!$B$237</definedName>
    <definedName name="Volume_of_detergent__litres">'Better Planet'!$B$120</definedName>
    <definedName name="Volume_of_plastic__tonnes">'Better Planet'!$B$109</definedName>
    <definedName name="Volume_of_wood_by_classification_and_segment_for_the_Year">'Better Planet'!$B$33</definedName>
    <definedName name="Voluntary_turnover_of_employees">'Better Business'!$B$226</definedName>
    <definedName name="Volunteering_hours">'Better Communities'!$B$20</definedName>
    <definedName name="Waste_and_recycling">'Better Planet'!$B$310</definedName>
    <definedName name="Water">'Better Planet'!$B$129</definedName>
    <definedName name="Water_consumed__megalitres___15">'Better Planet'!$B$131</definedName>
    <definedName name="Water_discharged__megalitres___16">'Better Planet'!$B$149</definedName>
    <definedName name="Water_recycled__megalitres">'Better Planet'!$B$140</definedName>
    <definedName name="Wood_reclaimed__Pallets___metric_tonnes">'Better Planet'!$B$350</definedName>
    <definedName name="Wood_volume__m3__by_forest_source_certification">'Better Planet'!$B$65</definedName>
    <definedName name="Wood_volume_by_continent_of_origin">'Better Planet'!$B$97</definedName>
    <definedName name="WoodVol">'Better Planet'!$B$25</definedName>
  </definedNames>
  <calcPr calcId="179017"/>
  <extLst>
    <ext xmlns:mx="http://schemas.microsoft.com/office/mac/excel/2008/main" uri="{7523E5D3-25F3-A5E0-1632-64F254C22452}">
      <mx:ArchID Flags="2"/>
    </ext>
  </extLst>
</workbook>
</file>

<file path=xl/calcChain.xml><?xml version="1.0" encoding="utf-8"?>
<calcChain xmlns="http://schemas.openxmlformats.org/spreadsheetml/2006/main">
  <c r="E130" i="8" l="1"/>
  <c r="D130" i="8"/>
  <c r="I209" i="6"/>
  <c r="H209" i="6"/>
  <c r="G209" i="6"/>
  <c r="F209" i="6"/>
  <c r="E209" i="6"/>
  <c r="D209" i="6"/>
  <c r="K210" i="6"/>
  <c r="J210" i="6"/>
  <c r="I210" i="6"/>
  <c r="H210" i="6"/>
  <c r="G210" i="6"/>
  <c r="F210" i="6"/>
  <c r="E210" i="6"/>
  <c r="D210" i="6"/>
  <c r="J208" i="6"/>
  <c r="I208" i="6"/>
  <c r="H208" i="6"/>
  <c r="G208" i="6"/>
  <c r="F208" i="6"/>
  <c r="E208" i="6"/>
  <c r="D208" i="6"/>
  <c r="J207" i="6"/>
  <c r="I207" i="6"/>
  <c r="H207" i="6"/>
  <c r="G207" i="6"/>
  <c r="F207" i="6"/>
  <c r="E207" i="6"/>
  <c r="D207" i="6"/>
  <c r="J206" i="6"/>
  <c r="I206" i="6"/>
  <c r="H206" i="6"/>
  <c r="G206" i="6"/>
  <c r="F206" i="6"/>
  <c r="E206" i="6"/>
  <c r="D206" i="6"/>
  <c r="E216" i="6"/>
  <c r="D216" i="6"/>
  <c r="G216" i="6"/>
  <c r="F216" i="6"/>
  <c r="I216" i="6"/>
  <c r="H216" i="6"/>
  <c r="I217" i="6"/>
  <c r="H217" i="6"/>
  <c r="G217" i="6"/>
  <c r="F217" i="6"/>
  <c r="E217" i="6"/>
  <c r="D217" i="6"/>
  <c r="D215" i="6"/>
  <c r="D214" i="6"/>
  <c r="D213" i="6"/>
  <c r="D212" i="6"/>
  <c r="I215" i="6"/>
  <c r="H215" i="6"/>
  <c r="G215" i="6"/>
  <c r="F215" i="6"/>
  <c r="E215" i="6"/>
  <c r="I214" i="6"/>
  <c r="H214" i="6"/>
  <c r="G214" i="6"/>
  <c r="F214" i="6"/>
  <c r="E214" i="6"/>
  <c r="I213" i="6"/>
  <c r="H213" i="6"/>
  <c r="G213" i="6"/>
  <c r="F213" i="6"/>
  <c r="E213" i="6"/>
  <c r="I212" i="6"/>
  <c r="H212" i="6"/>
  <c r="G212" i="6"/>
  <c r="F212" i="6"/>
  <c r="E212" i="6"/>
  <c r="I211" i="6"/>
  <c r="H211" i="6"/>
  <c r="G211" i="6"/>
  <c r="F211" i="6"/>
  <c r="E211" i="6"/>
  <c r="D211" i="6"/>
  <c r="J199" i="6"/>
  <c r="I201" i="6"/>
  <c r="H201" i="6"/>
  <c r="I199" i="6"/>
  <c r="H199" i="6"/>
  <c r="E182" i="6"/>
  <c r="E179" i="6"/>
  <c r="E170" i="6"/>
  <c r="E173" i="6"/>
  <c r="G201" i="6" l="1"/>
  <c r="D145" i="6"/>
  <c r="D144" i="6"/>
  <c r="D143" i="6"/>
  <c r="D136" i="6"/>
  <c r="D135" i="6"/>
  <c r="D134" i="6"/>
  <c r="D18" i="7" l="1"/>
  <c r="C18" i="7"/>
  <c r="E210" i="5" l="1"/>
  <c r="E209" i="5"/>
  <c r="E208" i="5"/>
  <c r="E217" i="5"/>
  <c r="E216" i="5"/>
  <c r="E215" i="5"/>
  <c r="E224" i="5"/>
  <c r="E223" i="5"/>
  <c r="E222" i="5"/>
  <c r="E16" i="7" l="1"/>
  <c r="E18" i="7" s="1"/>
  <c r="H40" i="5" l="1"/>
  <c r="G40" i="5"/>
  <c r="F40" i="5"/>
  <c r="E40" i="5"/>
  <c r="H35" i="5"/>
  <c r="G35" i="5"/>
  <c r="F35" i="5"/>
  <c r="E35" i="5"/>
  <c r="D40" i="5"/>
  <c r="D35" i="5"/>
  <c r="E410" i="6"/>
  <c r="D410" i="6"/>
  <c r="E408" i="6"/>
  <c r="D408" i="6"/>
  <c r="D224" i="5" l="1"/>
  <c r="D223" i="5"/>
  <c r="D222" i="5"/>
  <c r="C224" i="5"/>
  <c r="C223" i="5"/>
  <c r="C222" i="5"/>
  <c r="D217" i="5"/>
  <c r="C217" i="5"/>
  <c r="D216" i="5"/>
  <c r="C216" i="5"/>
  <c r="D215" i="5"/>
  <c r="C215" i="5"/>
  <c r="D210" i="5"/>
  <c r="C210" i="5"/>
  <c r="D209" i="5"/>
  <c r="C209" i="5"/>
  <c r="D208" i="5"/>
  <c r="C208" i="5"/>
  <c r="D45" i="5" l="1"/>
  <c r="C125" i="6" l="1"/>
  <c r="D125" i="6"/>
  <c r="E324" i="6" l="1"/>
  <c r="E323" i="6" s="1"/>
  <c r="D324" i="6"/>
  <c r="D323" i="6" s="1"/>
  <c r="E284" i="6"/>
  <c r="E283" i="6"/>
  <c r="E282" i="6" s="1"/>
  <c r="D284" i="6"/>
  <c r="D283" i="6"/>
  <c r="E162" i="6"/>
  <c r="E137" i="6"/>
  <c r="E114" i="6"/>
  <c r="E124" i="6"/>
  <c r="E125" i="6" s="1"/>
  <c r="F76" i="6"/>
  <c r="E76" i="6"/>
  <c r="D76" i="6"/>
  <c r="E31" i="6"/>
  <c r="D282" i="6" l="1"/>
  <c r="E240" i="5"/>
  <c r="J373" i="6" l="1"/>
  <c r="J365" i="6"/>
  <c r="K364" i="6"/>
  <c r="I364" i="6"/>
  <c r="H364" i="6"/>
  <c r="G364" i="6"/>
  <c r="E364" i="6"/>
  <c r="E360" i="6"/>
  <c r="J360" i="6" s="1"/>
  <c r="J364" i="6" s="1"/>
  <c r="D399" i="6"/>
  <c r="C399" i="6"/>
  <c r="F320" i="6"/>
  <c r="E321" i="6"/>
  <c r="D321" i="6"/>
  <c r="D316" i="6"/>
  <c r="D320" i="6" s="1"/>
  <c r="E316" i="6"/>
  <c r="E320" i="6" s="1"/>
  <c r="F430" i="6" l="1"/>
  <c r="E430" i="6"/>
  <c r="D430" i="6"/>
  <c r="F425" i="6"/>
  <c r="E425" i="6"/>
  <c r="D425" i="6"/>
  <c r="I41" i="5" l="1"/>
  <c r="I40" i="5" s="1"/>
  <c r="I36" i="5"/>
  <c r="I35" i="5" s="1"/>
  <c r="D179" i="6"/>
  <c r="D170" i="6"/>
  <c r="C179" i="6"/>
  <c r="C170" i="6"/>
  <c r="E200" i="6"/>
  <c r="E201" i="6"/>
  <c r="E199" i="6"/>
  <c r="D199" i="6"/>
  <c r="D201" i="6"/>
  <c r="D200" i="6"/>
  <c r="E32" i="5" l="1"/>
  <c r="D32" i="5"/>
  <c r="D114" i="6"/>
  <c r="C114" i="6"/>
  <c r="F72" i="6"/>
  <c r="E72" i="6"/>
  <c r="D72" i="6"/>
  <c r="F68" i="6"/>
  <c r="E68" i="6"/>
  <c r="D68" i="6"/>
  <c r="D31" i="6"/>
  <c r="C31" i="6"/>
  <c r="I46" i="8" l="1"/>
  <c r="H46" i="8"/>
  <c r="G46" i="8"/>
  <c r="F46" i="8"/>
  <c r="D46" i="8"/>
  <c r="C46" i="8"/>
  <c r="I35" i="8"/>
  <c r="H35" i="8"/>
  <c r="G35" i="8"/>
  <c r="F35" i="8"/>
  <c r="D35" i="8"/>
  <c r="C35" i="8"/>
  <c r="D24" i="8"/>
  <c r="D400" i="6" l="1"/>
  <c r="K367" i="6"/>
  <c r="J367" i="6"/>
  <c r="I367" i="6"/>
  <c r="H367" i="6"/>
  <c r="G367" i="6"/>
  <c r="F367" i="6"/>
  <c r="E367" i="6"/>
  <c r="D367" i="6"/>
  <c r="F319" i="6"/>
  <c r="E319" i="6"/>
  <c r="D319" i="6"/>
  <c r="E277" i="6"/>
  <c r="D277" i="6"/>
  <c r="K205" i="6"/>
  <c r="J205" i="6"/>
  <c r="K204" i="6"/>
  <c r="J204" i="6"/>
  <c r="K198" i="6"/>
  <c r="J198" i="6"/>
  <c r="K197" i="6"/>
  <c r="J197" i="6"/>
  <c r="I205" i="6"/>
  <c r="H205" i="6"/>
  <c r="G205" i="6"/>
  <c r="F205" i="6"/>
  <c r="E205" i="6"/>
  <c r="D205" i="6"/>
  <c r="I204" i="6"/>
  <c r="H204" i="6"/>
  <c r="G204" i="6"/>
  <c r="F204" i="6"/>
  <c r="E204" i="6"/>
  <c r="D204" i="6"/>
  <c r="D182" i="6"/>
  <c r="D173" i="6"/>
  <c r="D162" i="6"/>
  <c r="D154" i="6"/>
  <c r="D146" i="6"/>
  <c r="D137" i="6"/>
  <c r="I24" i="8" l="1"/>
  <c r="H24" i="8"/>
  <c r="G24" i="8"/>
  <c r="F24" i="8"/>
  <c r="C24" i="8"/>
  <c r="F182" i="6" l="1"/>
  <c r="F173" i="6"/>
  <c r="H224" i="5"/>
  <c r="G224" i="5"/>
  <c r="F224" i="5"/>
  <c r="H223" i="5"/>
  <c r="G223" i="5"/>
  <c r="F223" i="5"/>
  <c r="H222" i="5"/>
  <c r="G222" i="5"/>
  <c r="F222" i="5"/>
  <c r="H217" i="5"/>
  <c r="F217" i="5"/>
  <c r="H216" i="5"/>
  <c r="F216" i="5"/>
  <c r="H215" i="5"/>
  <c r="F215" i="5"/>
  <c r="H210" i="5"/>
  <c r="G210" i="5"/>
  <c r="F210" i="5"/>
  <c r="H209" i="5"/>
  <c r="G209" i="5"/>
  <c r="F209" i="5"/>
  <c r="H208" i="5"/>
  <c r="G208" i="5"/>
  <c r="F208" i="5"/>
  <c r="I86" i="5"/>
  <c r="I85" i="5"/>
  <c r="G55" i="5"/>
  <c r="H52" i="5"/>
  <c r="D52" i="5"/>
  <c r="H51" i="5"/>
  <c r="D51" i="5"/>
  <c r="G50" i="5"/>
  <c r="G32" i="5"/>
  <c r="I50" i="5" s="1"/>
  <c r="I125" i="6"/>
  <c r="F400" i="6"/>
  <c r="I400" i="6"/>
  <c r="C400" i="6"/>
  <c r="E363" i="6"/>
  <c r="F363" i="6"/>
  <c r="G363" i="6"/>
  <c r="H363" i="6"/>
  <c r="I363" i="6"/>
  <c r="J363" i="6"/>
  <c r="K363" i="6"/>
  <c r="D363" i="6"/>
  <c r="F315" i="6"/>
  <c r="E315" i="6"/>
  <c r="D315" i="6"/>
  <c r="E287" i="6"/>
  <c r="D287" i="6"/>
  <c r="E272" i="6"/>
  <c r="D272" i="6"/>
  <c r="E197" i="6"/>
  <c r="F197" i="6"/>
  <c r="G197" i="6"/>
  <c r="H197" i="6"/>
  <c r="I197" i="6"/>
  <c r="E198" i="6"/>
  <c r="F198" i="6"/>
  <c r="G198" i="6"/>
  <c r="H198" i="6"/>
  <c r="I198" i="6"/>
  <c r="D198" i="6"/>
  <c r="D197" i="6"/>
  <c r="C182" i="6"/>
  <c r="C173" i="6"/>
  <c r="C162" i="6"/>
  <c r="C154" i="6"/>
  <c r="C146" i="6"/>
  <c r="C137" i="6"/>
  <c r="H399" i="6"/>
  <c r="H400" i="6" s="1"/>
  <c r="G399" i="6"/>
  <c r="G400" i="6" s="1"/>
  <c r="E393" i="6"/>
  <c r="D393" i="6"/>
  <c r="K389" i="6"/>
  <c r="I389" i="6"/>
  <c r="H389" i="6"/>
  <c r="G389" i="6"/>
  <c r="F389" i="6"/>
  <c r="J388" i="6"/>
  <c r="E389" i="6"/>
  <c r="D389" i="6"/>
  <c r="J387" i="6"/>
  <c r="J386" i="6"/>
  <c r="K385" i="6"/>
  <c r="I385" i="6"/>
  <c r="H385" i="6"/>
  <c r="G385" i="6"/>
  <c r="F385" i="6"/>
  <c r="E385" i="6"/>
  <c r="D385" i="6"/>
  <c r="J384" i="6"/>
  <c r="J383" i="6"/>
  <c r="J382" i="6"/>
  <c r="J381" i="6"/>
  <c r="K380" i="6"/>
  <c r="I380" i="6"/>
  <c r="H380" i="6"/>
  <c r="G380" i="6"/>
  <c r="E380" i="6"/>
  <c r="D380" i="6"/>
  <c r="F378" i="6"/>
  <c r="F380" i="6" s="1"/>
  <c r="J377" i="6"/>
  <c r="J376" i="6"/>
  <c r="F340" i="6"/>
  <c r="D340" i="6"/>
  <c r="E334" i="6"/>
  <c r="E331" i="6" s="1"/>
  <c r="D334" i="6"/>
  <c r="D331" i="6" s="1"/>
  <c r="F331" i="6"/>
  <c r="D307" i="6"/>
  <c r="E307" i="6"/>
  <c r="D297" i="6"/>
  <c r="D296" i="6"/>
  <c r="E296" i="6" s="1"/>
  <c r="D295" i="6"/>
  <c r="E295" i="6" s="1"/>
  <c r="D294" i="6"/>
  <c r="E294" i="6" s="1"/>
  <c r="D293" i="6"/>
  <c r="E293" i="6" s="1"/>
  <c r="I241" i="6"/>
  <c r="H241" i="6"/>
  <c r="G241" i="6"/>
  <c r="F241" i="6"/>
  <c r="E241" i="6"/>
  <c r="D241" i="6"/>
  <c r="I231" i="6"/>
  <c r="I225" i="6" s="1"/>
  <c r="H231" i="6"/>
  <c r="F231" i="6"/>
  <c r="H230" i="6"/>
  <c r="F230" i="6"/>
  <c r="E230" i="6"/>
  <c r="H229" i="6"/>
  <c r="F229" i="6"/>
  <c r="E229" i="6"/>
  <c r="H228" i="6"/>
  <c r="F228" i="6"/>
  <c r="E228" i="6"/>
  <c r="H227" i="6"/>
  <c r="F227" i="6"/>
  <c r="E227" i="6"/>
  <c r="I226" i="6"/>
  <c r="G226" i="6"/>
  <c r="G225" i="6"/>
  <c r="J183" i="6"/>
  <c r="I183" i="6"/>
  <c r="G172" i="6"/>
  <c r="G171" i="6"/>
  <c r="G170" i="6"/>
  <c r="K174" i="6"/>
  <c r="J174" i="6"/>
  <c r="I174" i="6"/>
  <c r="G173" i="6"/>
  <c r="F162" i="6"/>
  <c r="G160" i="6"/>
  <c r="G162" i="6" s="1"/>
  <c r="G153" i="6"/>
  <c r="G152" i="6"/>
  <c r="G145" i="6"/>
  <c r="G144" i="6"/>
  <c r="G143" i="6"/>
  <c r="G135" i="6"/>
  <c r="G134" i="6"/>
  <c r="G124" i="6"/>
  <c r="G125" i="6" s="1"/>
  <c r="I114" i="6"/>
  <c r="F114" i="6"/>
  <c r="G113" i="6"/>
  <c r="G112" i="6"/>
  <c r="F84" i="6"/>
  <c r="E84" i="6"/>
  <c r="D84" i="6"/>
  <c r="F80" i="6"/>
  <c r="E80" i="6"/>
  <c r="D80" i="6"/>
  <c r="F59" i="6"/>
  <c r="E59" i="6"/>
  <c r="D59" i="6"/>
  <c r="F58" i="6"/>
  <c r="E58" i="6"/>
  <c r="D58" i="6"/>
  <c r="F57" i="6"/>
  <c r="E57" i="6"/>
  <c r="D57" i="6"/>
  <c r="F56" i="6"/>
  <c r="E56" i="6"/>
  <c r="D56" i="6"/>
  <c r="G31" i="6"/>
  <c r="F31" i="6"/>
  <c r="F16" i="7"/>
  <c r="F18" i="7" s="1"/>
  <c r="G16" i="7"/>
  <c r="G18" i="7" s="1"/>
  <c r="H16" i="7"/>
  <c r="H18" i="7" s="1"/>
  <c r="I16" i="7"/>
  <c r="I18" i="7" s="1"/>
  <c r="G114" i="6" l="1"/>
  <c r="E231" i="6"/>
  <c r="E225" i="6" s="1"/>
  <c r="J393" i="6"/>
  <c r="F226" i="6"/>
  <c r="H225" i="6"/>
  <c r="G137" i="6"/>
  <c r="H226" i="6"/>
  <c r="D230" i="6"/>
  <c r="J380" i="6"/>
  <c r="G154" i="6"/>
  <c r="D292" i="6"/>
  <c r="E292" i="6" s="1"/>
  <c r="G146" i="6"/>
  <c r="D227" i="6"/>
  <c r="D228" i="6"/>
  <c r="D231" i="6"/>
  <c r="E226" i="6"/>
  <c r="D229" i="6"/>
  <c r="J378" i="6"/>
  <c r="J385" i="6"/>
  <c r="J389" i="6"/>
  <c r="F225" i="6"/>
  <c r="E297" i="6"/>
  <c r="E303" i="6"/>
  <c r="D226" i="6" l="1"/>
  <c r="D225" i="6"/>
</calcChain>
</file>

<file path=xl/sharedStrings.xml><?xml version="1.0" encoding="utf-8"?>
<sst xmlns="http://schemas.openxmlformats.org/spreadsheetml/2006/main" count="1803" uniqueCount="399">
  <si>
    <t>Better Business</t>
  </si>
  <si>
    <t>Last Updated:</t>
  </si>
  <si>
    <t>For further information on performance, please refer to the appropriate Sustainability Review and Supplementary Information</t>
  </si>
  <si>
    <t>All FY19 figures in the Annual Sustainability Review are published excluding IFCO since their divestment during the fiscal year.  We have presented IFCO figures up until their divestment for transparency purposes in each table below</t>
  </si>
  <si>
    <t xml:space="preserve">Contents: </t>
  </si>
  <si>
    <t xml:space="preserve">Sharing and reusing model performance </t>
  </si>
  <si>
    <t>Group employees returning from parental leave during the Year as a percentage of those who took parental leave (%)</t>
  </si>
  <si>
    <t>Environmental benefits delivered in customers' supply chains</t>
  </si>
  <si>
    <t>Group employees returning to work after parental leave during the Year (%)</t>
  </si>
  <si>
    <t>Customer feedback</t>
  </si>
  <si>
    <t>Voluntary turnover of employees (%)</t>
  </si>
  <si>
    <t xml:space="preserve">People performance - Employee Stats </t>
  </si>
  <si>
    <t>Total number of employee hires</t>
  </si>
  <si>
    <t>Number of employees</t>
  </si>
  <si>
    <t>Employee hires by gender (%)</t>
  </si>
  <si>
    <t>Permanent employees by gender (total) (% male/female)</t>
  </si>
  <si>
    <t>Employee hires by age group (%)</t>
  </si>
  <si>
    <t>Permanent employees by gender (management positions) as at 30 June (% male/female)</t>
  </si>
  <si>
    <t>Engagement</t>
  </si>
  <si>
    <t>Office v Plant ratio (permanent employees) (%)</t>
  </si>
  <si>
    <t>Brambles Injury Frequency Rate (BIFR)</t>
  </si>
  <si>
    <t>Employees by employment contract (%)</t>
  </si>
  <si>
    <t>BIFR by gender</t>
  </si>
  <si>
    <t>Employees by employment type (%)</t>
  </si>
  <si>
    <t>BIFR by segment</t>
  </si>
  <si>
    <t>Age distribution of permanent employees (%)</t>
  </si>
  <si>
    <t>Education, Training and Development</t>
  </si>
  <si>
    <t xml:space="preserve">Male: female salary ratios </t>
  </si>
  <si>
    <t>Education, training and development days</t>
  </si>
  <si>
    <t>Group employees taking parental leave during the Year (%)</t>
  </si>
  <si>
    <t>Footnotes</t>
  </si>
  <si>
    <t xml:space="preserve">Environmental benefits delivered in customers' supply chains [1] </t>
  </si>
  <si>
    <t>Group</t>
  </si>
  <si>
    <t>FY19 (exc IFCO)</t>
  </si>
  <si>
    <t>FY19 (inc IFCO)</t>
  </si>
  <si>
    <t>FY18 (exc IFCO)</t>
  </si>
  <si>
    <t>FY18 (inc IFCO)</t>
  </si>
  <si>
    <t>FY17</t>
  </si>
  <si>
    <t>FY16 [2]</t>
  </si>
  <si>
    <t>FY15</t>
  </si>
  <si>
    <t>CO2-e saved (tonnes)</t>
  </si>
  <si>
    <t>Number of trees saved</t>
  </si>
  <si>
    <t>Waste eliminated from landfill (tonnes)</t>
  </si>
  <si>
    <t>Food waste eliminated (tonnes)</t>
  </si>
  <si>
    <t>Water saved (megalitres)</t>
  </si>
  <si>
    <t>CO2-e offset (tonnes) [19]</t>
  </si>
  <si>
    <t>Year</t>
  </si>
  <si>
    <t>Saving from</t>
  </si>
  <si>
    <t>CO2-e offset (tonnes) - carbon neutral products [3]</t>
  </si>
  <si>
    <t>Wooden pallets</t>
  </si>
  <si>
    <t>RPCs</t>
  </si>
  <si>
    <t>Transport collaboration/multimodal programs</t>
  </si>
  <si>
    <t>Foodbank collaboration</t>
  </si>
  <si>
    <t>-</t>
  </si>
  <si>
    <t>FY16 [4]</t>
  </si>
  <si>
    <t>Global insights relationship survey</t>
  </si>
  <si>
    <t>FY18 [5] (exc IFCO)</t>
  </si>
  <si>
    <t>FY16</t>
  </si>
  <si>
    <t>Individual contacts</t>
  </si>
  <si>
    <t>N/A</t>
  </si>
  <si>
    <t>+9,800</t>
  </si>
  <si>
    <t>+9,300</t>
  </si>
  <si>
    <t>+8,500</t>
  </si>
  <si>
    <t>Number of companies represented</t>
  </si>
  <si>
    <t>+5,100</t>
  </si>
  <si>
    <t>+3,700</t>
  </si>
  <si>
    <t>+3,500</t>
  </si>
  <si>
    <t>People performance  - Employee Stats [6]</t>
  </si>
  <si>
    <t>Regional Split</t>
  </si>
  <si>
    <t>Pallets Americas</t>
  </si>
  <si>
    <t>Pallets EMEA</t>
  </si>
  <si>
    <t>Pallets Asia-Pacific</t>
  </si>
  <si>
    <t>Corporate</t>
  </si>
  <si>
    <t>Containers</t>
  </si>
  <si>
    <t>Corporate [7]</t>
  </si>
  <si>
    <t>77.1 / 22.9</t>
  </si>
  <si>
    <t>76.7 / 23.3</t>
  </si>
  <si>
    <t>77.6 / 22.4</t>
  </si>
  <si>
    <t>77.0 / 23.0</t>
  </si>
  <si>
    <t>79.7 / 20.3</t>
  </si>
  <si>
    <t>80.2/19.8</t>
  </si>
  <si>
    <t>80.9/19.1</t>
  </si>
  <si>
    <t>84.9 / 15.1</t>
  </si>
  <si>
    <t>85.5/14.5</t>
  </si>
  <si>
    <t>85.5 / 14.5</t>
  </si>
  <si>
    <t>89 / 11</t>
  </si>
  <si>
    <t>81.0/19.0</t>
  </si>
  <si>
    <t>90.7/9.3</t>
  </si>
  <si>
    <t>72.6 / 27.4</t>
  </si>
  <si>
    <t>73.5/26.5</t>
  </si>
  <si>
    <t>73.5 / 26.5</t>
  </si>
  <si>
    <t>72.8 /27.2</t>
  </si>
  <si>
    <t>70.2/29.8</t>
  </si>
  <si>
    <t>73.4/26.6</t>
  </si>
  <si>
    <t>81.0 / 19.0</t>
  </si>
  <si>
    <t>81.6/18.4</t>
  </si>
  <si>
    <t>81.6 / 18.4</t>
  </si>
  <si>
    <t>82.2 / 17.8</t>
  </si>
  <si>
    <t>82.9/17.1</t>
  </si>
  <si>
    <t>81.8/18.2</t>
  </si>
  <si>
    <t>72.1 / 27.9</t>
  </si>
  <si>
    <t>71.6 / 28.4</t>
  </si>
  <si>
    <t>72.3 / 27.7</t>
  </si>
  <si>
    <t>73.7/26.3</t>
  </si>
  <si>
    <t>72.7/27.3</t>
  </si>
  <si>
    <t>55.5 / 44.5</t>
  </si>
  <si>
    <t>56.5 / 43.5</t>
  </si>
  <si>
    <t>75.0/25.0</t>
  </si>
  <si>
    <t>75.6/24.4</t>
  </si>
  <si>
    <t>57.0/43.0</t>
  </si>
  <si>
    <t>53.8/46.2</t>
  </si>
  <si>
    <t>71.2 / 28.8</t>
  </si>
  <si>
    <t>71.0 / 29.0</t>
  </si>
  <si>
    <t>72.0 / 28.0</t>
  </si>
  <si>
    <t>71.9 / 28.1</t>
  </si>
  <si>
    <t>73.9 / 26.1</t>
  </si>
  <si>
    <t>75.4/24.6</t>
  </si>
  <si>
    <t>76.4 / 23.6</t>
  </si>
  <si>
    <t>76.9 / 23.1</t>
  </si>
  <si>
    <t>80.2 / 19.8</t>
  </si>
  <si>
    <t>89.8/10.2</t>
  </si>
  <si>
    <t>82.7/17.3</t>
  </si>
  <si>
    <t>69.8 / 30.2</t>
  </si>
  <si>
    <t>71.8 / 28.2</t>
  </si>
  <si>
    <t>71.1 / 28.9</t>
  </si>
  <si>
    <t>73.0/27.0</t>
  </si>
  <si>
    <t>70.7/29.3</t>
  </si>
  <si>
    <t>70.2 / 29.8</t>
  </si>
  <si>
    <t>71.5 / 28.5</t>
  </si>
  <si>
    <t>78.1/21.9</t>
  </si>
  <si>
    <t>82.4/17.6</t>
  </si>
  <si>
    <t>68.7 / 31.3</t>
  </si>
  <si>
    <t>70.7 / 29.3</t>
  </si>
  <si>
    <t>72.5 / 27.5</t>
  </si>
  <si>
    <t>72.1/27.9</t>
  </si>
  <si>
    <t>67.1 / 32.9</t>
  </si>
  <si>
    <t>66.6 / 33.4</t>
  </si>
  <si>
    <t>68.4 / 31.6</t>
  </si>
  <si>
    <t>77.9/22.1</t>
  </si>
  <si>
    <t>77.4/22.6</t>
  </si>
  <si>
    <t>69.2/30.8</t>
  </si>
  <si>
    <t>66.4/33.6</t>
  </si>
  <si>
    <t>Office Based</t>
  </si>
  <si>
    <t>Male</t>
  </si>
  <si>
    <t>Female</t>
  </si>
  <si>
    <t>Plant Based</t>
  </si>
  <si>
    <t>Gender</t>
  </si>
  <si>
    <t>Permanent</t>
  </si>
  <si>
    <t>Temporary</t>
  </si>
  <si>
    <t>Full-time</t>
  </si>
  <si>
    <t>Part-time</t>
  </si>
  <si>
    <t>&lt;30</t>
  </si>
  <si>
    <t>30-&lt;35</t>
  </si>
  <si>
    <t>35-&lt;45</t>
  </si>
  <si>
    <t>45-&lt;55</t>
  </si>
  <si>
    <t>55-&lt;65</t>
  </si>
  <si>
    <t>&gt;65</t>
  </si>
  <si>
    <t>FY19</t>
  </si>
  <si>
    <t>(exc IFCO)</t>
  </si>
  <si>
    <t>Pallets Amercias</t>
  </si>
  <si>
    <t>(inc IFCO)</t>
  </si>
  <si>
    <t>0.88 : 1</t>
  </si>
  <si>
    <t>0.87 : 1</t>
  </si>
  <si>
    <t>0.86 : 1</t>
  </si>
  <si>
    <t>0.91: 1.00</t>
  </si>
  <si>
    <t>0.87: 1.00</t>
  </si>
  <si>
    <t>Non-management</t>
  </si>
  <si>
    <t>0.89 : 1</t>
  </si>
  <si>
    <t>0.84 : 1</t>
  </si>
  <si>
    <t>0.83: 1</t>
  </si>
  <si>
    <t>0.89: 1.00</t>
  </si>
  <si>
    <t>0.83: 1.00</t>
  </si>
  <si>
    <t>Management</t>
  </si>
  <si>
    <t>1.10 : 1</t>
  </si>
  <si>
    <t>1.11 : 1</t>
  </si>
  <si>
    <t>1.13: 1</t>
  </si>
  <si>
    <t>1.16: 1.00</t>
  </si>
  <si>
    <t>1.15: 1.00</t>
  </si>
  <si>
    <t>FY15 [8]</t>
  </si>
  <si>
    <t>Corporate [9]</t>
  </si>
  <si>
    <t>FY16 [10]</t>
  </si>
  <si>
    <t>Engagement [11]</t>
  </si>
  <si>
    <t>Measure</t>
  </si>
  <si>
    <t>FY18 [12] (inc IFCO)</t>
  </si>
  <si>
    <t>Brambles Engagement Survey participation</t>
  </si>
  <si>
    <t>Percentage of “fully engaged” employees</t>
  </si>
  <si>
    <t>obsolete measure - no longer valid</t>
  </si>
  <si>
    <t>Percentage of “enabled” employees (measure of supportiveness of organisational environment)</t>
  </si>
  <si>
    <t>Events per million hours worked</t>
  </si>
  <si>
    <t>Brambles Injury Frequency Rate</t>
  </si>
  <si>
    <t>FY15 [13]</t>
  </si>
  <si>
    <t>Pallets - Americas</t>
  </si>
  <si>
    <t>Pallets - EMEA</t>
  </si>
  <si>
    <t>Pallets - Asia-Pacific</t>
  </si>
  <si>
    <t>Pallets [14]</t>
  </si>
  <si>
    <t>Containers[15]</t>
  </si>
  <si>
    <t>Days</t>
  </si>
  <si>
    <t>FY14</t>
  </si>
  <si>
    <t>FY13</t>
  </si>
  <si>
    <t>FY12</t>
  </si>
  <si>
    <t xml:space="preserve">Education, training and development </t>
  </si>
  <si>
    <t>Per employee</t>
  </si>
  <si>
    <t>Per male employee</t>
  </si>
  <si>
    <t>Per female employee</t>
  </si>
  <si>
    <t>Per non-mgt employee</t>
  </si>
  <si>
    <t>Per mgt employee</t>
  </si>
  <si>
    <t>FY17 [16]</t>
  </si>
  <si>
    <t>FY15 [17]</t>
  </si>
  <si>
    <t>NR</t>
  </si>
  <si>
    <t>[1] Not reported prior to FY15. Calculated environmental benefits stated in this diagram are based on estimates from:
• our independent life cycle analyses (LCA), applied to volumes of the products and regions covered by these LCAs only; and
• internal data collection (for multimodal/collaborative transport programs and carbon neutral products).
These represent a conservative estimate of the global environmental benefits of our pooled products for the Year. Further information is provided in our
supplementary information document, available on our website.</t>
  </si>
  <si>
    <t>[2] 2016 LCA savings were re-calculated and restated using the 2017 report. The restatement was performed as the 2017 data was considered to be more accurate estimation of the 2016 performance and the restatement allows a more appropriate comparisons between the measurement periods. See the 2017 supplementary information document, p 5 for more details.</t>
  </si>
  <si>
    <t>[3] Please note: carbon offsets are purchased for a calendar year, while Brambles' sustainability reporting is done on a financial year basis. Therefore, the offsets purchased for calendar year 2015 are reported in FY16; for calendar year 2014 reported in FY15.</t>
  </si>
  <si>
    <t>[4] 2016 LCA savings were re-calculated and restated using the 2017 report. The restatement was performed as the 2017 data was considered to be more accurate estimation of the 2016 performance and the restatement allows a more appropriate comparisons between the measurement periods. See the 2017 supplementary information document, p 5 for more details.</t>
  </si>
  <si>
    <t>[5] From January 2018 the program survey method has changed from an annual survey to a quarterly schedule.  Figures submitted represted only Q3 &amp; Q4 of FY18 and therefore cannot be compared to the figures from previous years’ surveys.</t>
  </si>
  <si>
    <t>[6] From FY15, stats are based on a snapshot of employees as at 31 May; prior to FY15, stats were based on a snapshot of employees as at 30 June</t>
  </si>
  <si>
    <t>[7] In FY15, Brambles reclassified finance and IT employees into Corporate to reflect the global nature of those functions. Therefore, the reference to HQ has been updated to Corporate.</t>
  </si>
  <si>
    <t>[8] In FY13, Brambles determined that approximately 80% of employees were entitled to parental leave. In FY17, we will update the percentage of employees entitled to parental leave.</t>
  </si>
  <si>
    <t>[9] Includes Containers Aerospace, Oil &amp; Gas and LeanLogistics</t>
  </si>
  <si>
    <t>[10] Data collected for the first time in FY16, with all regions reporting via the HR system Workday.</t>
  </si>
  <si>
    <t>[11] Please note: all figures exclude Recall to enable comparison.</t>
  </si>
  <si>
    <t>[12] No BES survey undertaken in FY18</t>
  </si>
  <si>
    <t>[13] BIFR by gender was collected for the first time for the second half of FY15.</t>
  </si>
  <si>
    <t>[14] For the purposes of safety reporting the Pallets segment includes the CHEP RPCs and Containers operations in Asia-Pacific and South Africa.</t>
  </si>
  <si>
    <t>[15] For the purposes of safety reporting, the Containers segment includes the CHEP Automotive &amp; Industrial Solutions operations in Europe and the Americas, CAPS, CHEP Aerospace Solutions and the CHEP Catalyst &amp; Chemical Containers business.</t>
  </si>
  <si>
    <t>[16] FY17 Training Days data restated following correction of data.</t>
  </si>
  <si>
    <t>[17] In FY15, breakdown of ETD by gender and mgt/non-mgt is not provided as not all regions reported through the HR system Workday for the full financial year.</t>
  </si>
  <si>
    <t>Better Planet</t>
  </si>
  <si>
    <t xml:space="preserve">For further information on performance, please refer to the appropriate Sustainability Review. </t>
  </si>
  <si>
    <t>Natural Resources;</t>
  </si>
  <si>
    <t>Energy and Emissions</t>
  </si>
  <si>
    <t xml:space="preserve">Wood purchased for manufacture and repair of pallets </t>
  </si>
  <si>
    <t>Kilotonnes (kt) of CO2-e (Scope 1 and 2)</t>
  </si>
  <si>
    <t>Volume of wood by classification and segment for the year (%)</t>
  </si>
  <si>
    <t>Terajoules (TJ) of energy (Scope 1 and 2)</t>
  </si>
  <si>
    <t>Wood volume (m3) by forest source certification</t>
  </si>
  <si>
    <t>Emissions intensity (kg per unit)</t>
  </si>
  <si>
    <t>Wood volume by continent of origin (%)</t>
  </si>
  <si>
    <t>Greenhouse gas (GHG) emissions (detail)</t>
  </si>
  <si>
    <t>Plastic purchased for manufacture of RPCs</t>
  </si>
  <si>
    <t>GHG generation by source (%)</t>
  </si>
  <si>
    <t>Volume of plastic (tonnes)</t>
  </si>
  <si>
    <t>Greenhouse gas (GHG) emissions (Scope 3)</t>
  </si>
  <si>
    <t>Detergent purchased for washing of pallets, RPCs and containers</t>
  </si>
  <si>
    <t>Waste, reuse and recycling</t>
  </si>
  <si>
    <t>Volume of detergent (litres)</t>
  </si>
  <si>
    <t>General waste, recycling and hazardous waste (metric tonnes)</t>
  </si>
  <si>
    <t>Water</t>
  </si>
  <si>
    <t>Wood reclaimed (Pallets) (metric tonnes)</t>
  </si>
  <si>
    <t xml:space="preserve">Water consumed (megalitres) </t>
  </si>
  <si>
    <t>Brambles’ recycling efforts (excluding reclaimed) (metric tonnes)</t>
  </si>
  <si>
    <t>Water recycled (megalitres)</t>
  </si>
  <si>
    <t>Plastic recovered and reused in manufacture of RPCs (metric tonnes)</t>
  </si>
  <si>
    <t>Water discharged (megalitres)</t>
  </si>
  <si>
    <t>Purchase of Credits</t>
  </si>
  <si>
    <t>Rainwater harvested (megalitres)</t>
  </si>
  <si>
    <t>Offset Credits Purchased - Through Carbon Neutral Pallet Promotion</t>
  </si>
  <si>
    <t>Renewable Energy Certificate Credits Purchased - Covering Scope 2 emissions</t>
  </si>
  <si>
    <t>Natural Resources</t>
  </si>
  <si>
    <t>Wood purchased for manufacture and repair of pallets</t>
  </si>
  <si>
    <r>
      <t>Volume of wood (m</t>
    </r>
    <r>
      <rPr>
        <b/>
        <vertAlign val="superscript"/>
        <sz val="10"/>
        <color indexed="8"/>
        <rFont val="Segoe UI"/>
        <family val="2"/>
      </rPr>
      <t>3</t>
    </r>
    <r>
      <rPr>
        <b/>
        <sz val="10"/>
        <color indexed="8"/>
        <rFont val="Segoe UI"/>
        <family val="2"/>
      </rPr>
      <t>)</t>
    </r>
  </si>
  <si>
    <t>Total</t>
  </si>
  <si>
    <t>Volume of wood by classification and segment for the Year (%)</t>
  </si>
  <si>
    <t>Chain of custody (COC) certified</t>
  </si>
  <si>
    <t>Certified sources</t>
  </si>
  <si>
    <t>Policy compliant</t>
  </si>
  <si>
    <r>
      <t>Wood volume (m</t>
    </r>
    <r>
      <rPr>
        <b/>
        <vertAlign val="superscript"/>
        <sz val="10"/>
        <color indexed="8"/>
        <rFont val="Segoe UI"/>
        <family val="2"/>
      </rPr>
      <t>3</t>
    </r>
    <r>
      <rPr>
        <b/>
        <sz val="10"/>
        <color indexed="8"/>
        <rFont val="Segoe UI"/>
        <family val="2"/>
      </rPr>
      <t>) by forest source certification</t>
    </r>
  </si>
  <si>
    <t>Chain of custody (COC) certification</t>
  </si>
  <si>
    <t>Certified source wood (not including COC)</t>
  </si>
  <si>
    <t>Policy compliant wood</t>
  </si>
  <si>
    <t>Europe</t>
  </si>
  <si>
    <t>Australia/ New Zealand</t>
  </si>
  <si>
    <t>South America</t>
  </si>
  <si>
    <t>Africa</t>
  </si>
  <si>
    <t>North America</t>
  </si>
  <si>
    <t>Asia</t>
  </si>
  <si>
    <t>Product Split</t>
  </si>
  <si>
    <t>IFCO</t>
  </si>
  <si>
    <t>Pallets</t>
  </si>
  <si>
    <t>CHEP</t>
  </si>
  <si>
    <t>RPCs Total</t>
  </si>
  <si>
    <t>Water consumed (megalitres)</t>
  </si>
  <si>
    <t>545.66 [1]</t>
  </si>
  <si>
    <t>Kilotonnes (kt) of CO2-e [2] (Scope 1 and 2)</t>
  </si>
  <si>
    <t>FY18  (inc IFCO)</t>
  </si>
  <si>
    <r>
      <t xml:space="preserve">FY15 
</t>
    </r>
    <r>
      <rPr>
        <b/>
        <sz val="8"/>
        <rFont val="Segoe UI"/>
        <family val="2"/>
      </rPr>
      <t>revised for target baseline</t>
    </r>
  </si>
  <si>
    <r>
      <t xml:space="preserve">FY15 </t>
    </r>
    <r>
      <rPr>
        <b/>
        <sz val="8"/>
        <rFont val="Segoe UI"/>
        <family val="2"/>
      </rPr>
      <t>reported</t>
    </r>
  </si>
  <si>
    <t xml:space="preserve">Pallets </t>
  </si>
  <si>
    <t xml:space="preserve">RPCs </t>
  </si>
  <si>
    <r>
      <t xml:space="preserve">FY15 </t>
    </r>
    <r>
      <rPr>
        <b/>
        <sz val="8"/>
        <rFont val="Segoe UI"/>
        <family val="2"/>
      </rPr>
      <t>revised for target baseline</t>
    </r>
  </si>
  <si>
    <t>Reported (CGEN Intensity)</t>
  </si>
  <si>
    <t>FY16 [3]</t>
  </si>
  <si>
    <t>No longer reported</t>
  </si>
  <si>
    <t>Reported (TEU Intensity) [7]</t>
  </si>
  <si>
    <t>Scope 1</t>
  </si>
  <si>
    <t>Scope 2 Location Based [11]</t>
  </si>
  <si>
    <t>Scope 2 "Market Based" [12]</t>
  </si>
  <si>
    <t>kt CO2-e</t>
  </si>
  <si>
    <t>TJ</t>
  </si>
  <si>
    <t>Pallets (total)</t>
  </si>
  <si>
    <t xml:space="preserve">Pallets EMEA </t>
  </si>
  <si>
    <t>Pallets EMEA [6]</t>
  </si>
  <si>
    <t>revised for target baseline</t>
  </si>
  <si>
    <t xml:space="preserve">FY15 </t>
  </si>
  <si>
    <t>reported</t>
  </si>
  <si>
    <t>Source</t>
  </si>
  <si>
    <t>FY15 revised</t>
  </si>
  <si>
    <t>FY15 reported</t>
  </si>
  <si>
    <t xml:space="preserve">Electricity </t>
  </si>
  <si>
    <t>not available</t>
  </si>
  <si>
    <t xml:space="preserve">Diesel fuel </t>
  </si>
  <si>
    <t xml:space="preserve">Natural gas </t>
  </si>
  <si>
    <t xml:space="preserve">LPG/Propane </t>
  </si>
  <si>
    <t>Motor gasoline/Petrol</t>
  </si>
  <si>
    <t xml:space="preserve">Other </t>
  </si>
  <si>
    <t>Scope 3</t>
  </si>
  <si>
    <t>Pallets – outsourced service centres</t>
  </si>
  <si>
    <t xml:space="preserve">Pallets – transport </t>
  </si>
  <si>
    <t>RPCs - outsourced service centres</t>
  </si>
  <si>
    <t>RPCs - transport</t>
  </si>
  <si>
    <t>Pallets – outsourced service centres [4]</t>
  </si>
  <si>
    <t>Containers - outsourced service centres</t>
  </si>
  <si>
    <t>RPCs - transport [5]</t>
  </si>
  <si>
    <t>Waste and recycling</t>
  </si>
  <si>
    <t>General waste</t>
  </si>
  <si>
    <t>Recycling</t>
  </si>
  <si>
    <t>Hazardous waste</t>
  </si>
  <si>
    <t>Revised for goal baseline</t>
  </si>
  <si>
    <t>Reported</t>
  </si>
  <si>
    <t>Reclaim type</t>
  </si>
  <si>
    <t>Reused in repair and manufacture of pallets - own sites</t>
  </si>
  <si>
    <t>Reused in repair and manufacture of pallets - outsourced service centres</t>
  </si>
  <si>
    <t>13,292+</t>
  </si>
  <si>
    <t>Reused in other ways (fuel and recycled - see below) - own sites</t>
  </si>
  <si>
    <t>Product split</t>
  </si>
  <si>
    <t>Wood (Fuel)</t>
  </si>
  <si>
    <t>Wood (Recycled)</t>
  </si>
  <si>
    <t>Paper and Corrugate</t>
  </si>
  <si>
    <t>Comingled</t>
  </si>
  <si>
    <t>Plastic</t>
  </si>
  <si>
    <t>Metal</t>
  </si>
  <si>
    <t>General (power generation)</t>
  </si>
  <si>
    <t>(Inc IFCO)</t>
  </si>
  <si>
    <t>Offset Credits Purchased - Through Carbon Neutral Pallet Promotion [8]</t>
  </si>
  <si>
    <t>Tonnes CO2e</t>
  </si>
  <si>
    <t>Number Credits</t>
  </si>
  <si>
    <t>EU</t>
  </si>
  <si>
    <t>Renewable Energy Certificate Credits Purchased - Covering Scope 2 emissions [9]</t>
  </si>
  <si>
    <t>Year [10]</t>
  </si>
  <si>
    <t>Coverage (MWh)</t>
  </si>
  <si>
    <t>USA</t>
  </si>
  <si>
    <t>Canada</t>
  </si>
  <si>
    <t>South Africa</t>
  </si>
  <si>
    <t>Australia</t>
  </si>
  <si>
    <t>[1] Restated from 2015 Sustainability Review due to changes in reporting</t>
  </si>
  <si>
    <t xml:space="preserve">[2] Carbon dioxide equivalent (CO2-e) is the universal unit of measurement to indicate the full global warming potential (GWP) of a particular greenhouse gas emission. It takes into account the GWP of each of the six Kyoto greenhouse gases, and expresses </t>
  </si>
  <si>
    <t>[3] Restated using production figure collection method applied in FY17.</t>
  </si>
  <si>
    <t>[4] Estimate of CO2-e generated/energy used by leased and outsourced service centre sites that inspect and repair CHEP pallets.</t>
  </si>
  <si>
    <t>[5] RPC transport wasn't measured in FY15.  For FY16 reported we copied the FY16 figures to benchmark against in lieu of having a measurement.  I've copied the TJ and Tonnes CO2e from FY16 above.</t>
  </si>
  <si>
    <t>[6] includes Auto and Pallecon</t>
  </si>
  <si>
    <t>[7] New methodology using TEUs (Transport Equivalent Units) to calculate intensity - refer to supplementary information for more detail</t>
  </si>
  <si>
    <t>[8] These credits are purchased as part of an offering of Carbon Neutral Pallets for our Customers in Europe.  The Tonnes CO2e offset by these credits is not deducted from the Scope 1, 2 or 3 emissions reported centrally</t>
  </si>
  <si>
    <t>[9] …</t>
  </si>
  <si>
    <t xml:space="preserve">[10] No purchases prior to FY19 &amp; no purhcases for IFCO </t>
  </si>
  <si>
    <t>[11] All years prior to FY19 reported 'Location-Based' and 'Market-Based' Scope 2 emissions collectively</t>
  </si>
  <si>
    <t>[12] From FY19 Brambles report GHG Protocol 'Market-based' Scope 2 emissions separately to 'Location-Based' Scope 2 emissions.  'Market-Based' Scope 2 emissions include the purchase of electricity through renewable energy contracts, Rewable Energy Certificates and onsite power generation.  'Location-based' emissions reported cover all electricity that is purchased through a 3rd party supplier and not under a renewable electricity contract/certificate</t>
  </si>
  <si>
    <t xml:space="preserve">This page is designed to represent individual country/regional data where there is a legislative/reporting need at that level.  </t>
  </si>
  <si>
    <t>Better Planet Detailed View</t>
  </si>
  <si>
    <t>Data complied for selcted individual companies to assist in reporting for specific criteria (e.g. legislation, EcoVadis etc)</t>
  </si>
  <si>
    <t>Pallets AU</t>
  </si>
  <si>
    <t>Pallets CL</t>
  </si>
  <si>
    <t>Pallets CA</t>
  </si>
  <si>
    <t>Pallets EU (Brambles Enterprises Ltd)</t>
  </si>
  <si>
    <t>Pallets USA</t>
  </si>
  <si>
    <t>Pallets ZA</t>
  </si>
  <si>
    <t>Emissions intensity (kg per unit) [1]</t>
  </si>
  <si>
    <t>Scope 2</t>
  </si>
  <si>
    <t xml:space="preserve">no plants in scope for Scope 2. </t>
  </si>
  <si>
    <t>Lumber Reclaimed</t>
  </si>
  <si>
    <t>[1] Intensities re-stated using new TEU methodology for all years based on FY19 Like4Like</t>
  </si>
  <si>
    <t>Better Communities</t>
  </si>
  <si>
    <t xml:space="preserve">Brambles Commuity Investment </t>
  </si>
  <si>
    <t>Volunteering Hours</t>
  </si>
  <si>
    <t>Brambles community investment (US$)</t>
  </si>
  <si>
    <t>FY18 [1] (inc IFCO)</t>
  </si>
  <si>
    <t>Corporate donations and sponsorship</t>
  </si>
  <si>
    <t xml:space="preserve">In kind donations </t>
  </si>
  <si>
    <t>Volunteering</t>
  </si>
  <si>
    <t>Total US$ Donation</t>
  </si>
  <si>
    <t>Pre-tax Profit (continuing operations)</t>
  </si>
  <si>
    <t>% of pre-tax profit</t>
  </si>
  <si>
    <t>Volunteering hours</t>
  </si>
  <si>
    <t>Hours volunteered per employee</t>
  </si>
  <si>
    <t>Total hours</t>
  </si>
  <si>
    <t>[1] Updated FY18 data where double counting was found during FY19 reporting</t>
  </si>
  <si>
    <t>IFCO plastics purchased volumes currently unavailable.</t>
  </si>
  <si>
    <t>[13] IFCO lacations based on FY18 Inscope locations</t>
  </si>
  <si>
    <t>(inc IFCO) [13]</t>
  </si>
  <si>
    <t>IFCO TEU intensity not reported</t>
  </si>
  <si>
    <t>No sites in scope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</si>
</sst>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3" formatCode="_(* #,##0.00_);_(* \(#,##0.00\);_(* &quot;-&quot;??_);_(@_)"/>
    <numFmt numFmtId="164" formatCode="_-* #,##0.00_-;\-* #,##0.00_-;_-* &quot;-&quot;??_-;_-@_-"/>
    <numFmt numFmtId="165" formatCode="_(* #,##0_);_(* \(#,##0\);_(* &quot;-&quot;??_);_(@_)"/>
    <numFmt numFmtId="166" formatCode="0.0%"/>
    <numFmt numFmtId="167" formatCode="0.0"/>
    <numFmt numFmtId="168" formatCode="&quot;$&quot;#,##0"/>
    <numFmt numFmtId="169" formatCode="#,##0.0"/>
    <numFmt numFmtId="170" formatCode="#,##0.000"/>
    <numFmt numFmtId="171" formatCode="_(* #,##0.000_);_(* \(#,##0.000\);_(* &quot;-&quot;??_);_(@_)"/>
    <numFmt numFmtId="172" formatCode="0.000"/>
  </numFmts>
  <fonts count="57" x14ac:knownFonts="1">
    <font>
      <sz val="12"/>
      <color theme="1"/>
      <name val="Calibri"/>
      <family val="2"/>
      <scheme val="minor"/>
    </font>
    <font>
      <sz val="12"/>
      <color theme="1"/>
      <name val="Calibri"/>
      <family val="2"/>
      <scheme val="minor"/>
    </font>
    <font>
      <sz val="12"/>
      <color indexed="8"/>
      <name val="Calibri"/>
      <family val="2"/>
    </font>
    <font>
      <u/>
      <sz val="12"/>
      <color indexed="12"/>
      <name val="Calibri"/>
      <family val="2"/>
    </font>
    <font>
      <sz val="10"/>
      <color indexed="8"/>
      <name val="Trebuchet MS"/>
      <family val="2"/>
    </font>
    <font>
      <b/>
      <sz val="10"/>
      <color indexed="8"/>
      <name val="Trebuchet MS"/>
      <family val="2"/>
    </font>
    <font>
      <b/>
      <sz val="10"/>
      <color indexed="9"/>
      <name val="Trebuchet MS"/>
      <family val="2"/>
    </font>
    <font>
      <sz val="8"/>
      <color indexed="55"/>
      <name val="Trebuchet MS"/>
      <family val="2"/>
    </font>
    <font>
      <u/>
      <sz val="12"/>
      <color theme="11"/>
      <name val="Calibri"/>
      <family val="2"/>
      <scheme val="minor"/>
    </font>
    <font>
      <sz val="8"/>
      <color theme="1"/>
      <name val="Arial"/>
      <family val="2"/>
    </font>
    <font>
      <b/>
      <sz val="14"/>
      <color theme="1"/>
      <name val="Trebuchet MS"/>
      <family val="2"/>
    </font>
    <font>
      <sz val="10"/>
      <color theme="1"/>
      <name val="Trebuchet MS"/>
      <family val="2"/>
    </font>
    <font>
      <b/>
      <sz val="10"/>
      <color theme="1"/>
      <name val="Trebuchet MS"/>
      <family val="2"/>
    </font>
    <font>
      <sz val="12"/>
      <name val="Calibri"/>
      <family val="2"/>
      <scheme val="minor"/>
    </font>
    <font>
      <b/>
      <sz val="14"/>
      <color theme="1"/>
      <name val="Segoe UI"/>
      <family val="2"/>
    </font>
    <font>
      <b/>
      <sz val="10"/>
      <color theme="1"/>
      <name val="Segoe UI"/>
      <family val="2"/>
    </font>
    <font>
      <b/>
      <sz val="10"/>
      <name val="Segoe UI"/>
      <family val="2"/>
    </font>
    <font>
      <sz val="10"/>
      <color indexed="8"/>
      <name val="Segoe UI"/>
      <family val="2"/>
    </font>
    <font>
      <sz val="12"/>
      <color theme="1"/>
      <name val="Segoe UI"/>
      <family val="2"/>
    </font>
    <font>
      <b/>
      <sz val="10"/>
      <color indexed="8"/>
      <name val="Segoe UI"/>
      <family val="2"/>
    </font>
    <font>
      <b/>
      <sz val="10"/>
      <color indexed="9"/>
      <name val="Segoe UI"/>
      <family val="2"/>
    </font>
    <font>
      <sz val="10"/>
      <color theme="1"/>
      <name val="Segoe UI"/>
      <family val="2"/>
    </font>
    <font>
      <u/>
      <sz val="12"/>
      <color indexed="12"/>
      <name val="Segoe UI"/>
      <family val="2"/>
    </font>
    <font>
      <sz val="10"/>
      <color theme="1"/>
      <name val="Calibri"/>
      <family val="2"/>
      <scheme val="minor"/>
    </font>
    <font>
      <b/>
      <sz val="32"/>
      <color rgb="FF0076AA"/>
      <name val="Segoe UI"/>
      <family val="2"/>
    </font>
    <font>
      <b/>
      <sz val="18"/>
      <color indexed="8"/>
      <name val="Segoe UI"/>
      <family val="2"/>
    </font>
    <font>
      <sz val="12"/>
      <color indexed="8"/>
      <name val="Segoe UI"/>
      <family val="2"/>
    </font>
    <font>
      <b/>
      <sz val="16"/>
      <color indexed="8"/>
      <name val="Segoe UI"/>
      <family val="2"/>
    </font>
    <font>
      <b/>
      <vertAlign val="superscript"/>
      <sz val="10"/>
      <color indexed="8"/>
      <name val="Segoe UI"/>
      <family val="2"/>
    </font>
    <font>
      <i/>
      <sz val="9"/>
      <color indexed="8"/>
      <name val="Segoe UI"/>
      <family val="2"/>
    </font>
    <font>
      <i/>
      <sz val="9"/>
      <color theme="1"/>
      <name val="Segoe UI"/>
      <family val="2"/>
    </font>
    <font>
      <i/>
      <sz val="9"/>
      <color theme="4"/>
      <name val="Segoe UI"/>
      <family val="2"/>
    </font>
    <font>
      <b/>
      <sz val="14"/>
      <color indexed="8"/>
      <name val="Segoe UI"/>
      <family val="2"/>
    </font>
    <font>
      <sz val="12"/>
      <color indexed="9"/>
      <name val="Segoe UI"/>
      <family val="2"/>
    </font>
    <font>
      <sz val="9"/>
      <color indexed="8"/>
      <name val="Segoe UI"/>
      <family val="2"/>
    </font>
    <font>
      <b/>
      <sz val="8"/>
      <name val="Segoe UI"/>
      <family val="2"/>
    </font>
    <font>
      <b/>
      <sz val="12"/>
      <color theme="1"/>
      <name val="Segoe UI"/>
      <family val="2"/>
    </font>
    <font>
      <i/>
      <sz val="8"/>
      <color indexed="8"/>
      <name val="Segoe UI"/>
      <family val="2"/>
    </font>
    <font>
      <b/>
      <sz val="12"/>
      <color rgb="FFFF0000"/>
      <name val="Calibri"/>
      <family val="2"/>
      <scheme val="minor"/>
    </font>
    <font>
      <b/>
      <sz val="12"/>
      <color theme="1"/>
      <name val="Calibri"/>
      <family val="2"/>
      <scheme val="minor"/>
    </font>
    <font>
      <i/>
      <sz val="9"/>
      <color rgb="FFFF0000"/>
      <name val="Calibri"/>
      <family val="2"/>
      <scheme val="minor"/>
    </font>
    <font>
      <sz val="10"/>
      <name val="Segoe UI"/>
      <family val="2"/>
    </font>
    <font>
      <b/>
      <sz val="20"/>
      <color indexed="8"/>
      <name val="Segoe UI"/>
      <family val="2"/>
    </font>
    <font>
      <b/>
      <sz val="12"/>
      <color indexed="8"/>
      <name val="Segoe UI"/>
      <family val="2"/>
    </font>
    <font>
      <b/>
      <u/>
      <sz val="12"/>
      <color indexed="12"/>
      <name val="Calibri"/>
      <family val="2"/>
    </font>
    <font>
      <b/>
      <sz val="12"/>
      <name val="Segoe UI"/>
      <family val="2"/>
    </font>
    <font>
      <sz val="12"/>
      <color theme="1"/>
      <name val="Arial"/>
      <family val="2"/>
    </font>
    <font>
      <sz val="14"/>
      <color theme="1"/>
      <name val="Calibri"/>
      <family val="2"/>
      <scheme val="minor"/>
    </font>
    <font>
      <sz val="14"/>
      <color theme="1"/>
      <name val="Segoe UI"/>
      <family val="2"/>
    </font>
    <font>
      <u/>
      <sz val="14"/>
      <color indexed="12"/>
      <name val="Calibri"/>
      <family val="2"/>
    </font>
    <font>
      <i/>
      <sz val="11"/>
      <color indexed="8"/>
      <name val="Segoe UI"/>
      <family val="2"/>
    </font>
    <font>
      <b/>
      <sz val="10"/>
      <color theme="1"/>
      <name val="Calibri"/>
      <family val="2"/>
      <scheme val="minor"/>
    </font>
    <font>
      <i/>
      <sz val="10"/>
      <color theme="1"/>
      <name val="Segoe UI"/>
      <family val="2"/>
    </font>
    <font>
      <sz val="10"/>
      <color indexed="8"/>
      <name val="Calibri"/>
      <family val="2"/>
    </font>
    <font>
      <i/>
      <sz val="12"/>
      <color indexed="8"/>
      <name val="Segoe UI"/>
      <family val="2"/>
    </font>
    <font>
      <sz val="8"/>
      <color indexed="8"/>
      <name val="Segoe UI"/>
      <family val="2"/>
    </font>
    <font>
      <sz val="10"/>
      <color rgb="FF000000"/>
      <name val="Segoe UI"/>
      <family val="2"/>
    </font>
  </fonts>
  <fills count="11">
    <fill>
      <patternFill patternType="none"/>
    </fill>
    <fill>
      <patternFill patternType="gray125"/>
    </fill>
    <fill>
      <patternFill patternType="solid">
        <fgColor theme="0"/>
        <bgColor indexed="64"/>
      </patternFill>
    </fill>
    <fill>
      <patternFill patternType="solid">
        <fgColor rgb="FFFFEEB7"/>
        <bgColor indexed="64"/>
      </patternFill>
    </fill>
    <fill>
      <patternFill patternType="solid">
        <fgColor theme="6" tint="0.79998168889431442"/>
        <bgColor indexed="64"/>
      </patternFill>
    </fill>
    <fill>
      <patternFill patternType="solid">
        <fgColor theme="6"/>
        <bgColor indexed="64"/>
      </patternFill>
    </fill>
    <fill>
      <patternFill patternType="solid">
        <fgColor theme="8" tint="0.79998168889431442"/>
        <bgColor indexed="64"/>
      </patternFill>
    </fill>
    <fill>
      <patternFill patternType="solid">
        <fgColor theme="8"/>
        <bgColor indexed="64"/>
      </patternFill>
    </fill>
    <fill>
      <patternFill patternType="solid">
        <fgColor rgb="FFFFFFFF"/>
        <bgColor indexed="64"/>
      </patternFill>
    </fill>
    <fill>
      <patternFill patternType="solid">
        <fgColor rgb="FFFFFF00"/>
        <bgColor indexed="64"/>
      </patternFill>
    </fill>
    <fill>
      <patternFill patternType="solid">
        <fgColor rgb="FFFFCC00"/>
        <bgColor indexed="64"/>
      </patternFill>
    </fill>
  </fills>
  <borders count="60">
    <border>
      <left/>
      <right/>
      <top/>
      <bottom/>
      <diagonal/>
    </border>
    <border>
      <left style="medium">
        <color indexed="18"/>
      </left>
      <right style="medium">
        <color indexed="18"/>
      </right>
      <top/>
      <bottom/>
      <diagonal/>
    </border>
    <border>
      <left/>
      <right style="medium">
        <color indexed="18"/>
      </right>
      <top/>
      <bottom/>
      <diagonal/>
    </border>
    <border>
      <left style="medium">
        <color indexed="18"/>
      </left>
      <right/>
      <top/>
      <bottom/>
      <diagonal/>
    </border>
    <border>
      <left style="medium">
        <color theme="6" tint="-0.499984740745262"/>
      </left>
      <right style="medium">
        <color theme="6" tint="-0.499984740745262"/>
      </right>
      <top style="medium">
        <color theme="6" tint="-0.499984740745262"/>
      </top>
      <bottom/>
      <diagonal/>
    </border>
    <border>
      <left style="medium">
        <color theme="6" tint="-0.499984740745262"/>
      </left>
      <right style="medium">
        <color theme="6" tint="-0.499984740745262"/>
      </right>
      <top/>
      <bottom/>
      <diagonal/>
    </border>
    <border>
      <left style="medium">
        <color theme="6" tint="-0.499984740745262"/>
      </left>
      <right style="medium">
        <color theme="6" tint="-0.499984740745262"/>
      </right>
      <top/>
      <bottom style="medium">
        <color theme="6" tint="-0.499984740745262"/>
      </bottom>
      <diagonal/>
    </border>
    <border>
      <left style="medium">
        <color theme="6" tint="-0.499984740745262"/>
      </left>
      <right style="medium">
        <color theme="6" tint="-0.499984740745262"/>
      </right>
      <top style="medium">
        <color theme="6" tint="-0.499984740745262"/>
      </top>
      <bottom style="medium">
        <color theme="6" tint="-0.499984740745262"/>
      </bottom>
      <diagonal/>
    </border>
    <border>
      <left/>
      <right style="medium">
        <color theme="6" tint="-0.499984740745262"/>
      </right>
      <top style="medium">
        <color theme="6" tint="-0.499984740745262"/>
      </top>
      <bottom/>
      <diagonal/>
    </border>
    <border>
      <left/>
      <right style="medium">
        <color theme="6" tint="-0.499984740745262"/>
      </right>
      <top/>
      <bottom/>
      <diagonal/>
    </border>
    <border>
      <left/>
      <right style="medium">
        <color theme="6" tint="-0.499984740745262"/>
      </right>
      <top/>
      <bottom style="medium">
        <color theme="6" tint="-0.499984740745262"/>
      </bottom>
      <diagonal/>
    </border>
    <border>
      <left style="medium">
        <color theme="6" tint="-0.499984740745262"/>
      </left>
      <right/>
      <top/>
      <bottom/>
      <diagonal/>
    </border>
    <border>
      <left style="medium">
        <color theme="6" tint="-0.499984740745262"/>
      </left>
      <right/>
      <top/>
      <bottom style="medium">
        <color theme="6" tint="-0.499984740745262"/>
      </bottom>
      <diagonal/>
    </border>
    <border>
      <left style="medium">
        <color theme="6" tint="-0.499984740745262"/>
      </left>
      <right/>
      <top style="medium">
        <color theme="6" tint="-0.499984740745262"/>
      </top>
      <bottom/>
      <diagonal/>
    </border>
    <border>
      <left/>
      <right/>
      <top style="medium">
        <color theme="6" tint="-0.499984740745262"/>
      </top>
      <bottom/>
      <diagonal/>
    </border>
    <border>
      <left style="medium">
        <color theme="6" tint="-0.24994659260841701"/>
      </left>
      <right style="medium">
        <color theme="6" tint="-0.24994659260841701"/>
      </right>
      <top/>
      <bottom style="medium">
        <color theme="6" tint="-0.24994659260841701"/>
      </bottom>
      <diagonal/>
    </border>
    <border>
      <left style="medium">
        <color theme="6" tint="-0.24994659260841701"/>
      </left>
      <right style="medium">
        <color theme="6" tint="-0.24994659260841701"/>
      </right>
      <top/>
      <bottom/>
      <diagonal/>
    </border>
    <border>
      <left style="medium">
        <color theme="6" tint="-0.24994659260841701"/>
      </left>
      <right style="medium">
        <color theme="6" tint="-0.24994659260841701"/>
      </right>
      <top style="medium">
        <color theme="6" tint="-0.24994659260841701"/>
      </top>
      <bottom/>
      <diagonal/>
    </border>
    <border>
      <left style="medium">
        <color theme="8" tint="-0.499984740745262"/>
      </left>
      <right style="medium">
        <color theme="8" tint="-0.499984740745262"/>
      </right>
      <top style="medium">
        <color theme="8" tint="-0.499984740745262"/>
      </top>
      <bottom/>
      <diagonal/>
    </border>
    <border>
      <left style="medium">
        <color theme="8" tint="-0.499984740745262"/>
      </left>
      <right style="medium">
        <color theme="8" tint="-0.499984740745262"/>
      </right>
      <top/>
      <bottom/>
      <diagonal/>
    </border>
    <border>
      <left style="medium">
        <color theme="8" tint="-0.499984740745262"/>
      </left>
      <right style="medium">
        <color theme="8" tint="-0.499984740745262"/>
      </right>
      <top/>
      <bottom style="medium">
        <color theme="8" tint="-0.499984740745262"/>
      </bottom>
      <diagonal/>
    </border>
    <border>
      <left style="medium">
        <color theme="8" tint="-0.499984740745262"/>
      </left>
      <right/>
      <top/>
      <bottom/>
      <diagonal/>
    </border>
    <border>
      <left style="medium">
        <color theme="8" tint="-0.499984740745262"/>
      </left>
      <right/>
      <top style="medium">
        <color theme="8" tint="-0.499984740745262"/>
      </top>
      <bottom/>
      <diagonal/>
    </border>
    <border>
      <left style="medium">
        <color theme="8" tint="-0.499984740745262"/>
      </left>
      <right/>
      <top/>
      <bottom style="medium">
        <color theme="8" tint="-0.499984740745262"/>
      </bottom>
      <diagonal/>
    </border>
    <border>
      <left style="medium">
        <color indexed="64"/>
      </left>
      <right/>
      <top style="medium">
        <color indexed="64"/>
      </top>
      <bottom/>
      <diagonal/>
    </border>
    <border>
      <left style="medium">
        <color theme="8" tint="-0.499984740745262"/>
      </left>
      <right style="medium">
        <color theme="8" tint="-0.499984740745262"/>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theme="8" tint="-0.499984740745262"/>
      </left>
      <right style="medium">
        <color theme="8" tint="-0.499984740745262"/>
      </right>
      <top/>
      <bottom style="medium">
        <color indexed="64"/>
      </bottom>
      <diagonal/>
    </border>
    <border>
      <left style="medium">
        <color theme="6" tint="-0.499984740745262"/>
      </left>
      <right style="medium">
        <color theme="6" tint="-0.499984740745262"/>
      </right>
      <top style="medium">
        <color indexed="64"/>
      </top>
      <bottom/>
      <diagonal/>
    </border>
    <border>
      <left style="medium">
        <color theme="6" tint="-0.499984740745262"/>
      </left>
      <right style="medium">
        <color indexed="64"/>
      </right>
      <top style="medium">
        <color indexed="64"/>
      </top>
      <bottom/>
      <diagonal/>
    </border>
    <border>
      <left style="medium">
        <color indexed="64"/>
      </left>
      <right style="medium">
        <color theme="6" tint="-0.499984740745262"/>
      </right>
      <top/>
      <bottom/>
      <diagonal/>
    </border>
    <border>
      <left style="medium">
        <color theme="6" tint="-0.499984740745262"/>
      </left>
      <right style="medium">
        <color indexed="64"/>
      </right>
      <top/>
      <bottom/>
      <diagonal/>
    </border>
    <border>
      <left style="medium">
        <color indexed="64"/>
      </left>
      <right style="medium">
        <color theme="6" tint="-0.499984740745262"/>
      </right>
      <top/>
      <bottom style="medium">
        <color indexed="64"/>
      </bottom>
      <diagonal/>
    </border>
    <border>
      <left style="medium">
        <color theme="6" tint="-0.499984740745262"/>
      </left>
      <right style="medium">
        <color theme="6" tint="-0.499984740745262"/>
      </right>
      <top/>
      <bottom style="medium">
        <color indexed="64"/>
      </bottom>
      <diagonal/>
    </border>
    <border>
      <left style="medium">
        <color theme="6" tint="-0.499984740745262"/>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theme="6" tint="-0.499984740745262"/>
      </left>
      <right/>
      <top style="medium">
        <color theme="6" tint="-0.499984740745262"/>
      </top>
      <bottom style="medium">
        <color theme="6" tint="-0.499984740745262"/>
      </bottom>
      <diagonal/>
    </border>
    <border>
      <left/>
      <right style="medium">
        <color theme="6" tint="-0.499984740745262"/>
      </right>
      <top style="medium">
        <color theme="6" tint="-0.499984740745262"/>
      </top>
      <bottom style="medium">
        <color theme="6" tint="-0.499984740745262"/>
      </bottom>
      <diagonal/>
    </border>
    <border>
      <left style="medium">
        <color indexed="64"/>
      </left>
      <right style="medium">
        <color indexed="64"/>
      </right>
      <top style="medium">
        <color indexed="64"/>
      </top>
      <bottom style="medium">
        <color indexed="64"/>
      </bottom>
      <diagonal/>
    </border>
    <border>
      <left style="medium">
        <color rgb="FFFFC000"/>
      </left>
      <right style="medium">
        <color indexed="64"/>
      </right>
      <top style="medium">
        <color indexed="64"/>
      </top>
      <bottom/>
      <diagonal/>
    </border>
    <border>
      <left style="medium">
        <color indexed="64"/>
      </left>
      <right style="medium">
        <color rgb="FFFFC000"/>
      </right>
      <top/>
      <bottom/>
      <diagonal/>
    </border>
    <border>
      <left style="medium">
        <color rgb="FFFFC000"/>
      </left>
      <right style="medium">
        <color indexed="64"/>
      </right>
      <top/>
      <bottom/>
      <diagonal/>
    </border>
    <border>
      <left style="medium">
        <color indexed="64"/>
      </left>
      <right style="medium">
        <color rgb="FFFFC000"/>
      </right>
      <top/>
      <bottom style="medium">
        <color indexed="64"/>
      </bottom>
      <diagonal/>
    </border>
    <border>
      <left style="medium">
        <color rgb="FFFFC000"/>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theme="6" tint="-0.499984740745262"/>
      </right>
      <top style="medium">
        <color indexed="64"/>
      </top>
      <bottom/>
      <diagonal/>
    </border>
    <border>
      <left style="medium">
        <color rgb="FF000000"/>
      </left>
      <right/>
      <top style="medium">
        <color rgb="FF000000"/>
      </top>
      <bottom/>
      <diagonal/>
    </border>
    <border>
      <left style="medium">
        <color rgb="FF000000"/>
      </left>
      <right style="medium">
        <color rgb="FF000000"/>
      </right>
      <top style="medium">
        <color rgb="FF000000"/>
      </top>
      <bottom/>
      <diagonal/>
    </border>
    <border>
      <left style="medium">
        <color rgb="FF000000"/>
      </left>
      <right/>
      <top/>
      <bottom/>
      <diagonal/>
    </border>
    <border>
      <left style="medium">
        <color rgb="FF000000"/>
      </left>
      <right style="medium">
        <color rgb="FF000000"/>
      </right>
      <top/>
      <bottom/>
      <diagonal/>
    </border>
    <border>
      <left/>
      <right style="medium">
        <color theme="6" tint="-0.499984740745262"/>
      </right>
      <top style="medium">
        <color indexed="64"/>
      </top>
      <bottom/>
      <diagonal/>
    </border>
    <border>
      <left/>
      <right style="medium">
        <color theme="6" tint="-0.499984740745262"/>
      </right>
      <top/>
      <bottom style="medium">
        <color indexed="64"/>
      </bottom>
      <diagonal/>
    </border>
    <border>
      <left style="medium">
        <color rgb="FF000000"/>
      </left>
      <right style="medium">
        <color rgb="FF000000"/>
      </right>
      <top/>
      <bottom style="medium">
        <color rgb="FF000000"/>
      </bottom>
      <diagonal/>
    </border>
  </borders>
  <cellStyleXfs count="91">
    <xf numFmtId="0" fontId="0" fillId="0" borderId="0"/>
    <xf numFmtId="43" fontId="1" fillId="0" borderId="0" applyFont="0" applyFill="0" applyBorder="0" applyAlignment="0" applyProtection="0"/>
    <xf numFmtId="0" fontId="3" fillId="0" borderId="0" applyNumberFormat="0" applyFill="0" applyBorder="0" applyAlignment="0" applyProtection="0"/>
    <xf numFmtId="0" fontId="2" fillId="0" borderId="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9" fontId="1" fillId="0" borderId="0" applyFon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cellStyleXfs>
  <cellXfs count="683">
    <xf numFmtId="0" fontId="0" fillId="0" borderId="0" xfId="0"/>
    <xf numFmtId="0" fontId="2" fillId="0" borderId="0" xfId="3"/>
    <xf numFmtId="0" fontId="3" fillId="0" borderId="0" xfId="2" applyAlignment="1">
      <alignment vertical="center"/>
    </xf>
    <xf numFmtId="0" fontId="4" fillId="0" borderId="0" xfId="3" applyFont="1" applyAlignment="1">
      <alignment vertical="center"/>
    </xf>
    <xf numFmtId="0" fontId="7" fillId="0" borderId="0" xfId="3" applyFont="1" applyAlignment="1">
      <alignment vertical="center"/>
    </xf>
    <xf numFmtId="3" fontId="4" fillId="0" borderId="0" xfId="3" applyNumberFormat="1" applyFont="1" applyAlignment="1">
      <alignment vertical="center"/>
    </xf>
    <xf numFmtId="0" fontId="4" fillId="0" borderId="0" xfId="3" applyFont="1" applyAlignment="1">
      <alignment horizontal="right" vertical="center" wrapText="1"/>
    </xf>
    <xf numFmtId="0" fontId="0" fillId="0" borderId="0" xfId="0" applyAlignment="1">
      <alignment vertical="top"/>
    </xf>
    <xf numFmtId="0" fontId="13" fillId="2" borderId="0" xfId="0" applyFont="1" applyFill="1"/>
    <xf numFmtId="0" fontId="0" fillId="3" borderId="0" xfId="0" applyFill="1"/>
    <xf numFmtId="0" fontId="10" fillId="3" borderId="0" xfId="0" applyFont="1" applyFill="1" applyAlignment="1">
      <alignment vertical="center"/>
    </xf>
    <xf numFmtId="0" fontId="12" fillId="3" borderId="0" xfId="0" applyFont="1" applyFill="1" applyAlignment="1">
      <alignment vertical="center"/>
    </xf>
    <xf numFmtId="0" fontId="9" fillId="2" borderId="0" xfId="0" applyFont="1" applyFill="1" applyAlignment="1">
      <alignment vertical="center"/>
    </xf>
    <xf numFmtId="0" fontId="0" fillId="2" borderId="0" xfId="0" applyFill="1"/>
    <xf numFmtId="0" fontId="14" fillId="3" borderId="0" xfId="0" applyFont="1" applyFill="1" applyAlignment="1">
      <alignment vertical="center"/>
    </xf>
    <xf numFmtId="0" fontId="15" fillId="3" borderId="0" xfId="0" applyFont="1" applyFill="1" applyAlignment="1">
      <alignment vertical="center"/>
    </xf>
    <xf numFmtId="0" fontId="18" fillId="0" borderId="0" xfId="0" applyFont="1"/>
    <xf numFmtId="0" fontId="21" fillId="0" borderId="0" xfId="0" applyFont="1" applyAlignment="1">
      <alignment vertical="center"/>
    </xf>
    <xf numFmtId="0" fontId="20" fillId="0" borderId="0" xfId="3" applyFont="1" applyAlignment="1">
      <alignment horizontal="right" vertical="center" wrapText="1"/>
    </xf>
    <xf numFmtId="0" fontId="19" fillId="0" borderId="0" xfId="3" applyFont="1" applyAlignment="1">
      <alignment vertical="center" wrapText="1"/>
    </xf>
    <xf numFmtId="0" fontId="22" fillId="3" borderId="0" xfId="2" applyFont="1" applyFill="1" applyAlignment="1">
      <alignment vertical="center"/>
    </xf>
    <xf numFmtId="0" fontId="18" fillId="3" borderId="0" xfId="0" applyFont="1" applyFill="1"/>
    <xf numFmtId="0" fontId="24" fillId="0" borderId="0" xfId="0" applyFont="1"/>
    <xf numFmtId="0" fontId="14" fillId="3" borderId="0" xfId="0" applyFont="1" applyFill="1" applyAlignment="1">
      <alignment vertical="top"/>
    </xf>
    <xf numFmtId="0" fontId="2" fillId="4" borderId="0" xfId="3" applyFill="1"/>
    <xf numFmtId="0" fontId="0" fillId="4" borderId="0" xfId="0" applyFill="1"/>
    <xf numFmtId="0" fontId="25" fillId="4" borderId="0" xfId="3" applyFont="1" applyFill="1" applyAlignment="1">
      <alignment vertical="center"/>
    </xf>
    <xf numFmtId="0" fontId="26" fillId="4" borderId="0" xfId="3" applyFont="1" applyFill="1"/>
    <xf numFmtId="0" fontId="17" fillId="4" borderId="0" xfId="3" applyFont="1" applyFill="1" applyAlignment="1">
      <alignment vertical="center"/>
    </xf>
    <xf numFmtId="0" fontId="27" fillId="4" borderId="0" xfId="3" applyFont="1" applyFill="1" applyAlignment="1">
      <alignment vertical="center"/>
    </xf>
    <xf numFmtId="0" fontId="17" fillId="0" borderId="0" xfId="3" applyFont="1" applyAlignment="1">
      <alignment vertical="center"/>
    </xf>
    <xf numFmtId="0" fontId="26" fillId="0" borderId="0" xfId="3" applyFont="1"/>
    <xf numFmtId="0" fontId="19" fillId="4" borderId="0" xfId="3" applyFont="1" applyFill="1" applyAlignment="1">
      <alignment vertical="center"/>
    </xf>
    <xf numFmtId="0" fontId="17" fillId="0" borderId="5" xfId="3" applyFont="1" applyBorder="1" applyAlignment="1">
      <alignment vertical="center" wrapText="1"/>
    </xf>
    <xf numFmtId="3" fontId="17" fillId="0" borderId="5" xfId="3" applyNumberFormat="1" applyFont="1" applyBorder="1" applyAlignment="1">
      <alignment horizontal="right" vertical="center" wrapText="1"/>
    </xf>
    <xf numFmtId="0" fontId="19" fillId="0" borderId="6" xfId="3" applyFont="1" applyBorder="1" applyAlignment="1">
      <alignment vertical="center" wrapText="1"/>
    </xf>
    <xf numFmtId="3" fontId="19" fillId="0" borderId="6" xfId="3" applyNumberFormat="1" applyFont="1" applyBorder="1" applyAlignment="1">
      <alignment vertical="center" wrapText="1"/>
    </xf>
    <xf numFmtId="3" fontId="19" fillId="0" borderId="6" xfId="3" applyNumberFormat="1" applyFont="1" applyBorder="1" applyAlignment="1">
      <alignment horizontal="right" vertical="center" wrapText="1"/>
    </xf>
    <xf numFmtId="3" fontId="17" fillId="0" borderId="0" xfId="3" applyNumberFormat="1" applyFont="1" applyAlignment="1">
      <alignment vertical="center"/>
    </xf>
    <xf numFmtId="0" fontId="19" fillId="0" borderId="0" xfId="3" applyFont="1" applyAlignment="1">
      <alignment vertical="center"/>
    </xf>
    <xf numFmtId="0" fontId="18" fillId="4" borderId="0" xfId="0" applyFont="1" applyFill="1"/>
    <xf numFmtId="0" fontId="19" fillId="0" borderId="3" xfId="3" applyFont="1" applyBorder="1" applyAlignment="1">
      <alignment vertical="center" wrapText="1"/>
    </xf>
    <xf numFmtId="0" fontId="19" fillId="0" borderId="5" xfId="3" applyFont="1" applyBorder="1" applyAlignment="1">
      <alignment vertical="center" wrapText="1"/>
    </xf>
    <xf numFmtId="9" fontId="17" fillId="0" borderId="5" xfId="3" applyNumberFormat="1" applyFont="1" applyBorder="1" applyAlignment="1">
      <alignment horizontal="left" vertical="center" wrapText="1"/>
    </xf>
    <xf numFmtId="0" fontId="19" fillId="0" borderId="4" xfId="3" applyFont="1" applyBorder="1" applyAlignment="1">
      <alignment vertical="center" wrapText="1"/>
    </xf>
    <xf numFmtId="9" fontId="19" fillId="0" borderId="4" xfId="3" applyNumberFormat="1" applyFont="1" applyBorder="1" applyAlignment="1">
      <alignment horizontal="center" vertical="center" wrapText="1"/>
    </xf>
    <xf numFmtId="9" fontId="17" fillId="0" borderId="5" xfId="3" applyNumberFormat="1" applyFont="1" applyBorder="1" applyAlignment="1">
      <alignment horizontal="center" vertical="center" wrapText="1"/>
    </xf>
    <xf numFmtId="0" fontId="17" fillId="0" borderId="6" xfId="3" applyFont="1" applyBorder="1" applyAlignment="1">
      <alignment vertical="center" wrapText="1"/>
    </xf>
    <xf numFmtId="9" fontId="17" fillId="0" borderId="6" xfId="3" applyNumberFormat="1" applyFont="1" applyBorder="1" applyAlignment="1">
      <alignment horizontal="left" vertical="center" wrapText="1"/>
    </xf>
    <xf numFmtId="9" fontId="17" fillId="0" borderId="6" xfId="3" applyNumberFormat="1" applyFont="1" applyBorder="1" applyAlignment="1">
      <alignment horizontal="center" vertical="center" wrapText="1"/>
    </xf>
    <xf numFmtId="9" fontId="19" fillId="0" borderId="5" xfId="3" applyNumberFormat="1" applyFont="1" applyBorder="1" applyAlignment="1">
      <alignment horizontal="center" vertical="center" wrapText="1"/>
    </xf>
    <xf numFmtId="10" fontId="26" fillId="0" borderId="0" xfId="3" applyNumberFormat="1" applyFont="1"/>
    <xf numFmtId="9" fontId="19" fillId="0" borderId="0" xfId="3" applyNumberFormat="1" applyFont="1" applyAlignment="1">
      <alignment horizontal="right" vertical="center" wrapText="1"/>
    </xf>
    <xf numFmtId="0" fontId="26" fillId="0" borderId="0" xfId="3" applyFont="1" applyAlignment="1">
      <alignment wrapText="1"/>
    </xf>
    <xf numFmtId="0" fontId="19" fillId="0" borderId="1" xfId="3" applyFont="1" applyBorder="1" applyAlignment="1">
      <alignment vertical="center" wrapText="1"/>
    </xf>
    <xf numFmtId="0" fontId="17" fillId="0" borderId="2" xfId="3" applyFont="1" applyBorder="1" applyAlignment="1">
      <alignment vertical="center" wrapText="1"/>
    </xf>
    <xf numFmtId="9" fontId="17" fillId="0" borderId="0" xfId="3" applyNumberFormat="1" applyFont="1" applyAlignment="1">
      <alignment vertical="center"/>
    </xf>
    <xf numFmtId="0" fontId="27" fillId="0" borderId="0" xfId="3" applyFont="1" applyAlignment="1">
      <alignment vertical="center"/>
    </xf>
    <xf numFmtId="0" fontId="31" fillId="0" borderId="0" xfId="3" applyFont="1" applyAlignment="1">
      <alignment vertical="center"/>
    </xf>
    <xf numFmtId="9" fontId="18" fillId="0" borderId="0" xfId="8" applyFont="1"/>
    <xf numFmtId="4" fontId="17" fillId="0" borderId="0" xfId="3" applyNumberFormat="1" applyFont="1" applyAlignment="1">
      <alignment vertical="center"/>
    </xf>
    <xf numFmtId="4" fontId="26" fillId="0" borderId="0" xfId="3" applyNumberFormat="1" applyFont="1"/>
    <xf numFmtId="0" fontId="32" fillId="0" borderId="0" xfId="3" applyFont="1" applyAlignment="1">
      <alignment vertical="center"/>
    </xf>
    <xf numFmtId="43" fontId="17" fillId="0" borderId="2" xfId="1" applyFont="1" applyBorder="1" applyAlignment="1">
      <alignment horizontal="right" vertical="center" wrapText="1"/>
    </xf>
    <xf numFmtId="0" fontId="33" fillId="0" borderId="0" xfId="3" applyFont="1"/>
    <xf numFmtId="0" fontId="26" fillId="0" borderId="0" xfId="3" applyFont="1" applyAlignment="1">
      <alignment vertical="center"/>
    </xf>
    <xf numFmtId="43" fontId="26" fillId="0" borderId="0" xfId="3" applyNumberFormat="1" applyFont="1"/>
    <xf numFmtId="0" fontId="17" fillId="0" borderId="0" xfId="3" applyFont="1" applyAlignment="1">
      <alignment horizontal="right" vertical="center" wrapText="1"/>
    </xf>
    <xf numFmtId="0" fontId="19" fillId="0" borderId="0" xfId="3" applyFont="1" applyAlignment="1">
      <alignment horizontal="right" vertical="center" wrapText="1"/>
    </xf>
    <xf numFmtId="0" fontId="20" fillId="0" borderId="0" xfId="3" applyFont="1" applyAlignment="1">
      <alignment vertical="center" wrapText="1"/>
    </xf>
    <xf numFmtId="0" fontId="18" fillId="0" borderId="0" xfId="0" applyFont="1" applyAlignment="1">
      <alignment horizontal="left" vertical="top" wrapText="1"/>
    </xf>
    <xf numFmtId="3" fontId="26" fillId="0" borderId="0" xfId="3" applyNumberFormat="1" applyFont="1"/>
    <xf numFmtId="3" fontId="19" fillId="0" borderId="0" xfId="3" applyNumberFormat="1" applyFont="1" applyAlignment="1">
      <alignment vertical="center" wrapText="1"/>
    </xf>
    <xf numFmtId="3" fontId="17" fillId="0" borderId="0" xfId="3" applyNumberFormat="1" applyFont="1" applyAlignment="1">
      <alignment horizontal="right" vertical="center" wrapText="1"/>
    </xf>
    <xf numFmtId="3" fontId="17" fillId="0" borderId="0" xfId="3" applyNumberFormat="1" applyFont="1" applyAlignment="1">
      <alignment vertical="center" wrapText="1"/>
    </xf>
    <xf numFmtId="3" fontId="19" fillId="0" borderId="5" xfId="3" applyNumberFormat="1" applyFont="1" applyBorder="1" applyAlignment="1">
      <alignment horizontal="right" vertical="center" wrapText="1"/>
    </xf>
    <xf numFmtId="3" fontId="17" fillId="0" borderId="6" xfId="3" applyNumberFormat="1" applyFont="1" applyBorder="1" applyAlignment="1">
      <alignment horizontal="right" vertical="center" wrapText="1"/>
    </xf>
    <xf numFmtId="3" fontId="17" fillId="0" borderId="9" xfId="3" applyNumberFormat="1" applyFont="1" applyBorder="1" applyAlignment="1">
      <alignment horizontal="right" vertical="center" wrapText="1"/>
    </xf>
    <xf numFmtId="3" fontId="19" fillId="0" borderId="4" xfId="3" applyNumberFormat="1" applyFont="1" applyBorder="1" applyAlignment="1">
      <alignment horizontal="right" vertical="center" wrapText="1"/>
    </xf>
    <xf numFmtId="0" fontId="17" fillId="0" borderId="5" xfId="3" applyFont="1" applyBorder="1" applyAlignment="1">
      <alignment horizontal="right" vertical="center" wrapText="1"/>
    </xf>
    <xf numFmtId="0" fontId="17" fillId="0" borderId="6" xfId="3" applyFont="1" applyBorder="1" applyAlignment="1">
      <alignment horizontal="right" vertical="center" wrapText="1"/>
    </xf>
    <xf numFmtId="9" fontId="17" fillId="0" borderId="5" xfId="8" applyFont="1" applyBorder="1" applyAlignment="1">
      <alignment vertical="center" wrapText="1"/>
    </xf>
    <xf numFmtId="9" fontId="17" fillId="0" borderId="5" xfId="3" applyNumberFormat="1" applyFont="1" applyBorder="1" applyAlignment="1">
      <alignment vertical="center" wrapText="1"/>
    </xf>
    <xf numFmtId="9" fontId="17" fillId="0" borderId="6" xfId="8" applyFont="1" applyBorder="1" applyAlignment="1">
      <alignment vertical="center" wrapText="1"/>
    </xf>
    <xf numFmtId="9" fontId="17" fillId="0" borderId="6" xfId="3" applyNumberFormat="1" applyFont="1" applyBorder="1" applyAlignment="1">
      <alignment vertical="center" wrapText="1"/>
    </xf>
    <xf numFmtId="0" fontId="29" fillId="0" borderId="0" xfId="3" applyFont="1" applyAlignment="1">
      <alignment vertical="center" wrapText="1"/>
    </xf>
    <xf numFmtId="0" fontId="0" fillId="0" borderId="5" xfId="0" applyBorder="1"/>
    <xf numFmtId="3" fontId="17" fillId="0" borderId="11" xfId="3" applyNumberFormat="1" applyFont="1" applyBorder="1" applyAlignment="1">
      <alignment horizontal="right" vertical="center" wrapText="1"/>
    </xf>
    <xf numFmtId="3" fontId="19" fillId="0" borderId="12" xfId="3" applyNumberFormat="1" applyFont="1" applyBorder="1" applyAlignment="1">
      <alignment vertical="center" wrapText="1"/>
    </xf>
    <xf numFmtId="165" fontId="30" fillId="0" borderId="0" xfId="1" applyNumberFormat="1" applyFont="1"/>
    <xf numFmtId="3" fontId="19" fillId="0" borderId="10" xfId="3" applyNumberFormat="1" applyFont="1" applyBorder="1" applyAlignment="1">
      <alignment vertical="center" wrapText="1"/>
    </xf>
    <xf numFmtId="4" fontId="17" fillId="0" borderId="5" xfId="3" applyNumberFormat="1" applyFont="1" applyBorder="1" applyAlignment="1">
      <alignment horizontal="right" vertical="center" wrapText="1"/>
    </xf>
    <xf numFmtId="0" fontId="18" fillId="0" borderId="5" xfId="0" applyFont="1" applyBorder="1"/>
    <xf numFmtId="4" fontId="19" fillId="0" borderId="6" xfId="3" applyNumberFormat="1" applyFont="1" applyBorder="1" applyAlignment="1">
      <alignment horizontal="right" vertical="center" wrapText="1"/>
    </xf>
    <xf numFmtId="0" fontId="18" fillId="0" borderId="14" xfId="0" applyFont="1" applyBorder="1"/>
    <xf numFmtId="0" fontId="0" fillId="0" borderId="14" xfId="0" applyBorder="1"/>
    <xf numFmtId="0" fontId="18" fillId="0" borderId="8" xfId="0" applyFont="1" applyBorder="1"/>
    <xf numFmtId="4" fontId="17" fillId="0" borderId="11" xfId="3" applyNumberFormat="1" applyFont="1" applyBorder="1" applyAlignment="1">
      <alignment horizontal="right" vertical="center" wrapText="1"/>
    </xf>
    <xf numFmtId="4" fontId="19" fillId="0" borderId="12" xfId="3" applyNumberFormat="1" applyFont="1" applyBorder="1" applyAlignment="1">
      <alignment horizontal="right" vertical="center" wrapText="1"/>
    </xf>
    <xf numFmtId="4" fontId="17" fillId="0" borderId="5" xfId="3" applyNumberFormat="1" applyFont="1" applyBorder="1" applyAlignment="1">
      <alignment vertical="center" wrapText="1"/>
    </xf>
    <xf numFmtId="4" fontId="19" fillId="0" borderId="6" xfId="3" applyNumberFormat="1" applyFont="1" applyBorder="1" applyAlignment="1">
      <alignment vertical="center" wrapText="1"/>
    </xf>
    <xf numFmtId="2" fontId="17" fillId="0" borderId="5" xfId="3" applyNumberFormat="1" applyFont="1" applyBorder="1" applyAlignment="1">
      <alignment vertical="center" wrapText="1"/>
    </xf>
    <xf numFmtId="0" fontId="17" fillId="0" borderId="16" xfId="3" applyFont="1" applyBorder="1" applyAlignment="1">
      <alignment vertical="center" wrapText="1"/>
    </xf>
    <xf numFmtId="0" fontId="17" fillId="0" borderId="15" xfId="3" applyFont="1" applyBorder="1" applyAlignment="1">
      <alignment vertical="center" wrapText="1"/>
    </xf>
    <xf numFmtId="0" fontId="16" fillId="5" borderId="7" xfId="3" applyFont="1" applyFill="1" applyBorder="1" applyAlignment="1">
      <alignment vertical="center" wrapText="1"/>
    </xf>
    <xf numFmtId="43" fontId="19" fillId="0" borderId="4" xfId="1" applyFont="1" applyBorder="1" applyAlignment="1">
      <alignment horizontal="right" vertical="center" wrapText="1"/>
    </xf>
    <xf numFmtId="43" fontId="19" fillId="0" borderId="5" xfId="1" applyFont="1" applyBorder="1" applyAlignment="1">
      <alignment horizontal="right" vertical="center" wrapText="1"/>
    </xf>
    <xf numFmtId="43" fontId="17" fillId="0" borderId="5" xfId="1" applyFont="1" applyBorder="1" applyAlignment="1">
      <alignment horizontal="right" vertical="center" wrapText="1"/>
    </xf>
    <xf numFmtId="43" fontId="17" fillId="0" borderId="6" xfId="1" applyFont="1" applyBorder="1" applyAlignment="1">
      <alignment horizontal="right" vertical="center" wrapText="1"/>
    </xf>
    <xf numFmtId="43" fontId="34" fillId="0" borderId="6" xfId="1" applyFont="1" applyBorder="1" applyAlignment="1">
      <alignment horizontal="right" vertical="center" wrapText="1"/>
    </xf>
    <xf numFmtId="0" fontId="34" fillId="0" borderId="5" xfId="3" applyFont="1" applyBorder="1" applyAlignment="1">
      <alignment vertical="center" wrapText="1"/>
    </xf>
    <xf numFmtId="9" fontId="17" fillId="0" borderId="16" xfId="3" applyNumberFormat="1" applyFont="1" applyBorder="1" applyAlignment="1">
      <alignment vertical="center" wrapText="1"/>
    </xf>
    <xf numFmtId="9" fontId="17" fillId="0" borderId="16" xfId="8" applyFont="1" applyBorder="1" applyAlignment="1">
      <alignment vertical="center" wrapText="1"/>
    </xf>
    <xf numFmtId="9" fontId="17" fillId="0" borderId="15" xfId="8" applyFont="1" applyBorder="1" applyAlignment="1">
      <alignment vertical="center" wrapText="1"/>
    </xf>
    <xf numFmtId="0" fontId="16" fillId="0" borderId="4" xfId="3" applyFont="1" applyBorder="1" applyAlignment="1">
      <alignment horizontal="left" vertical="center" wrapText="1"/>
    </xf>
    <xf numFmtId="4" fontId="19" fillId="0" borderId="4" xfId="3" applyNumberFormat="1" applyFont="1" applyBorder="1" applyAlignment="1">
      <alignment vertical="center" wrapText="1"/>
    </xf>
    <xf numFmtId="164" fontId="19" fillId="0" borderId="4" xfId="3" applyNumberFormat="1" applyFont="1" applyBorder="1" applyAlignment="1">
      <alignment vertical="center" wrapText="1"/>
    </xf>
    <xf numFmtId="0" fontId="18" fillId="0" borderId="6" xfId="0" applyFont="1" applyBorder="1"/>
    <xf numFmtId="2" fontId="17" fillId="0" borderId="6" xfId="3" applyNumberFormat="1" applyFont="1" applyBorder="1" applyAlignment="1">
      <alignment horizontal="right" vertical="center" wrapText="1"/>
    </xf>
    <xf numFmtId="2" fontId="17" fillId="0" borderId="5" xfId="3" applyNumberFormat="1" applyFont="1" applyBorder="1" applyAlignment="1">
      <alignment horizontal="right" vertical="center" wrapText="1"/>
    </xf>
    <xf numFmtId="2" fontId="19" fillId="0" borderId="4" xfId="3" applyNumberFormat="1" applyFont="1" applyBorder="1" applyAlignment="1">
      <alignment vertical="center" wrapText="1"/>
    </xf>
    <xf numFmtId="3" fontId="19" fillId="2" borderId="5" xfId="3" applyNumberFormat="1" applyFont="1" applyFill="1" applyBorder="1" applyAlignment="1">
      <alignment horizontal="right" vertical="center" wrapText="1"/>
    </xf>
    <xf numFmtId="3" fontId="17" fillId="2" borderId="5" xfId="3" applyNumberFormat="1" applyFont="1" applyFill="1" applyBorder="1" applyAlignment="1">
      <alignment horizontal="right" vertical="center" wrapText="1"/>
    </xf>
    <xf numFmtId="3" fontId="19" fillId="0" borderId="5" xfId="3" applyNumberFormat="1" applyFont="1" applyBorder="1" applyAlignment="1">
      <alignment vertical="center" wrapText="1"/>
    </xf>
    <xf numFmtId="3" fontId="17" fillId="2" borderId="5" xfId="3" applyNumberFormat="1" applyFont="1" applyFill="1" applyBorder="1" applyAlignment="1">
      <alignment vertical="center" wrapText="1"/>
    </xf>
    <xf numFmtId="3" fontId="17" fillId="0" borderId="5" xfId="3" applyNumberFormat="1" applyFont="1" applyBorder="1" applyAlignment="1">
      <alignment vertical="center" wrapText="1"/>
    </xf>
    <xf numFmtId="3" fontId="17" fillId="2" borderId="6" xfId="3" applyNumberFormat="1" applyFont="1" applyFill="1" applyBorder="1" applyAlignment="1">
      <alignment horizontal="right" vertical="center" wrapText="1"/>
    </xf>
    <xf numFmtId="3" fontId="17" fillId="0" borderId="6" xfId="3" applyNumberFormat="1" applyFont="1" applyBorder="1" applyAlignment="1">
      <alignment vertical="center" wrapText="1"/>
    </xf>
    <xf numFmtId="3" fontId="34" fillId="0" borderId="0" xfId="3" applyNumberFormat="1" applyFont="1"/>
    <xf numFmtId="165" fontId="17" fillId="0" borderId="5" xfId="1" applyNumberFormat="1" applyFont="1" applyBorder="1" applyAlignment="1">
      <alignment horizontal="right" vertical="center" wrapText="1"/>
    </xf>
    <xf numFmtId="165" fontId="17" fillId="2" borderId="5" xfId="1" applyNumberFormat="1" applyFont="1" applyFill="1" applyBorder="1" applyAlignment="1">
      <alignment horizontal="right" vertical="center" wrapText="1"/>
    </xf>
    <xf numFmtId="0" fontId="0" fillId="6" borderId="0" xfId="0" applyFill="1"/>
    <xf numFmtId="0" fontId="18" fillId="2" borderId="0" xfId="0" applyFont="1" applyFill="1"/>
    <xf numFmtId="0" fontId="18" fillId="6" borderId="0" xfId="0" applyFont="1" applyFill="1"/>
    <xf numFmtId="0" fontId="36" fillId="6" borderId="0" xfId="0" applyFont="1" applyFill="1" applyAlignment="1">
      <alignment vertical="center"/>
    </xf>
    <xf numFmtId="0" fontId="36" fillId="2" borderId="0" xfId="0" applyFont="1" applyFill="1" applyAlignment="1">
      <alignment vertical="center"/>
    </xf>
    <xf numFmtId="0" fontId="16" fillId="7" borderId="18" xfId="3" applyFont="1" applyFill="1" applyBorder="1" applyAlignment="1">
      <alignment horizontal="right" vertical="center" wrapText="1"/>
    </xf>
    <xf numFmtId="168" fontId="19" fillId="2" borderId="19" xfId="3" applyNumberFormat="1" applyFont="1" applyFill="1" applyBorder="1" applyAlignment="1">
      <alignment horizontal="right" vertical="center" wrapText="1"/>
    </xf>
    <xf numFmtId="168" fontId="17" fillId="2" borderId="19" xfId="3" applyNumberFormat="1" applyFont="1" applyFill="1" applyBorder="1" applyAlignment="1">
      <alignment horizontal="right" vertical="center" wrapText="1"/>
    </xf>
    <xf numFmtId="0" fontId="21" fillId="2" borderId="0" xfId="0" applyFont="1" applyFill="1" applyAlignment="1">
      <alignment vertical="center"/>
    </xf>
    <xf numFmtId="10" fontId="18" fillId="2" borderId="0" xfId="0" applyNumberFormat="1" applyFont="1" applyFill="1"/>
    <xf numFmtId="0" fontId="36" fillId="0" borderId="0" xfId="0" applyFont="1" applyAlignment="1">
      <alignment vertical="center"/>
    </xf>
    <xf numFmtId="3" fontId="19" fillId="2" borderId="20" xfId="3" applyNumberFormat="1" applyFont="1" applyFill="1" applyBorder="1" applyAlignment="1">
      <alignment horizontal="right" vertical="center" wrapText="1"/>
    </xf>
    <xf numFmtId="0" fontId="15" fillId="2" borderId="0" xfId="0" applyFont="1" applyFill="1" applyAlignment="1">
      <alignment vertical="center"/>
    </xf>
    <xf numFmtId="0" fontId="21" fillId="2" borderId="0" xfId="0" applyFont="1" applyFill="1" applyAlignment="1">
      <alignment vertical="center" wrapText="1"/>
    </xf>
    <xf numFmtId="0" fontId="20" fillId="2" borderId="0" xfId="3" applyFont="1" applyFill="1" applyAlignment="1">
      <alignment horizontal="right" vertical="center" wrapText="1"/>
    </xf>
    <xf numFmtId="0" fontId="17" fillId="2" borderId="0" xfId="3" applyFont="1" applyFill="1" applyAlignment="1">
      <alignment vertical="center" wrapText="1"/>
    </xf>
    <xf numFmtId="167" fontId="19" fillId="2" borderId="0" xfId="3" applyNumberFormat="1" applyFont="1" applyFill="1" applyAlignment="1">
      <alignment horizontal="right" vertical="center" wrapText="1"/>
    </xf>
    <xf numFmtId="167" fontId="5" fillId="2" borderId="0" xfId="3" applyNumberFormat="1" applyFont="1" applyFill="1" applyAlignment="1">
      <alignment horizontal="right" vertical="center" wrapText="1"/>
    </xf>
    <xf numFmtId="167" fontId="17" fillId="2" borderId="0" xfId="3" applyNumberFormat="1" applyFont="1" applyFill="1" applyAlignment="1">
      <alignment horizontal="right" vertical="center" wrapText="1"/>
    </xf>
    <xf numFmtId="167" fontId="4" fillId="2" borderId="0" xfId="3" applyNumberFormat="1" applyFont="1" applyFill="1" applyAlignment="1">
      <alignment horizontal="right" vertical="center" wrapText="1"/>
    </xf>
    <xf numFmtId="167" fontId="21" fillId="2" borderId="0" xfId="0" applyNumberFormat="1" applyFont="1" applyFill="1" applyAlignment="1">
      <alignment horizontal="right" vertical="center" wrapText="1"/>
    </xf>
    <xf numFmtId="0" fontId="6" fillId="2" borderId="0" xfId="3" applyFont="1" applyFill="1" applyAlignment="1">
      <alignment horizontal="right" vertical="center" wrapText="1"/>
    </xf>
    <xf numFmtId="169" fontId="17" fillId="2" borderId="0" xfId="3" applyNumberFormat="1" applyFont="1" applyFill="1" applyAlignment="1">
      <alignment horizontal="right" vertical="center" wrapText="1"/>
    </xf>
    <xf numFmtId="3" fontId="21" fillId="2" borderId="0" xfId="0" applyNumberFormat="1" applyFont="1" applyFill="1" applyAlignment="1">
      <alignment vertical="center" wrapText="1"/>
    </xf>
    <xf numFmtId="0" fontId="22" fillId="2" borderId="0" xfId="2" applyFont="1" applyFill="1" applyAlignment="1">
      <alignment vertical="center" wrapText="1"/>
    </xf>
    <xf numFmtId="0" fontId="12" fillId="2" borderId="0" xfId="0" applyFont="1" applyFill="1" applyAlignment="1">
      <alignment vertical="center"/>
    </xf>
    <xf numFmtId="0" fontId="0" fillId="2" borderId="0" xfId="0" applyFill="1" applyAlignment="1">
      <alignment vertical="center" wrapText="1"/>
    </xf>
    <xf numFmtId="0" fontId="0" fillId="8" borderId="0" xfId="0" applyFill="1"/>
    <xf numFmtId="0" fontId="16" fillId="7" borderId="25" xfId="3" applyFont="1" applyFill="1" applyBorder="1" applyAlignment="1">
      <alignment horizontal="right" vertical="center" wrapText="1"/>
    </xf>
    <xf numFmtId="0" fontId="37" fillId="0" borderId="0" xfId="3" applyFont="1" applyAlignment="1">
      <alignment vertical="center"/>
    </xf>
    <xf numFmtId="9" fontId="26" fillId="0" borderId="0" xfId="3" applyNumberFormat="1" applyFont="1"/>
    <xf numFmtId="0" fontId="38" fillId="2" borderId="0" xfId="0" applyFont="1" applyFill="1" applyAlignment="1">
      <alignment vertical="center"/>
    </xf>
    <xf numFmtId="2" fontId="21" fillId="2" borderId="0" xfId="0" applyNumberFormat="1" applyFont="1" applyFill="1" applyAlignment="1">
      <alignment vertical="center"/>
    </xf>
    <xf numFmtId="3" fontId="21" fillId="2" borderId="0" xfId="0" applyNumberFormat="1" applyFont="1" applyFill="1" applyAlignment="1">
      <alignment horizontal="right" vertical="center" wrapText="1"/>
    </xf>
    <xf numFmtId="1" fontId="39" fillId="0" borderId="6" xfId="0" applyNumberFormat="1" applyFont="1" applyBorder="1"/>
    <xf numFmtId="3" fontId="0" fillId="0" borderId="5" xfId="0" applyNumberFormat="1" applyBorder="1"/>
    <xf numFmtId="3" fontId="39" fillId="0" borderId="6" xfId="0" applyNumberFormat="1" applyFont="1" applyBorder="1"/>
    <xf numFmtId="170" fontId="17" fillId="0" borderId="5" xfId="3" applyNumberFormat="1" applyFont="1" applyBorder="1" applyAlignment="1">
      <alignment horizontal="right" vertical="center" wrapText="1"/>
    </xf>
    <xf numFmtId="170" fontId="19" fillId="0" borderId="12" xfId="3" applyNumberFormat="1" applyFont="1" applyBorder="1" applyAlignment="1">
      <alignment horizontal="right" vertical="center" wrapText="1"/>
    </xf>
    <xf numFmtId="0" fontId="16" fillId="7" borderId="22" xfId="3" applyFont="1" applyFill="1" applyBorder="1" applyAlignment="1">
      <alignment horizontal="center" vertical="center" wrapText="1"/>
    </xf>
    <xf numFmtId="0" fontId="19" fillId="2" borderId="23" xfId="3" applyFont="1" applyFill="1" applyBorder="1" applyAlignment="1">
      <alignment horizontal="left" vertical="center" wrapText="1"/>
    </xf>
    <xf numFmtId="0" fontId="16" fillId="7" borderId="24" xfId="3" applyFont="1" applyFill="1" applyBorder="1" applyAlignment="1">
      <alignment horizontal="center" vertical="center" wrapText="1"/>
    </xf>
    <xf numFmtId="0" fontId="19" fillId="2" borderId="26" xfId="3" applyFont="1" applyFill="1" applyBorder="1" applyAlignment="1">
      <alignment horizontal="left" vertical="center" wrapText="1"/>
    </xf>
    <xf numFmtId="0" fontId="17" fillId="2" borderId="26" xfId="3" applyFont="1" applyFill="1" applyBorder="1" applyAlignment="1">
      <alignment horizontal="left" vertical="center" wrapText="1"/>
    </xf>
    <xf numFmtId="0" fontId="40" fillId="0" borderId="0" xfId="0" applyFont="1" applyAlignment="1">
      <alignment wrapText="1"/>
    </xf>
    <xf numFmtId="0" fontId="41" fillId="2" borderId="26" xfId="3" applyFont="1" applyFill="1" applyBorder="1" applyAlignment="1">
      <alignment horizontal="left" vertical="center" wrapText="1"/>
    </xf>
    <xf numFmtId="0" fontId="40" fillId="6" borderId="0" xfId="0" applyFont="1" applyFill="1" applyAlignment="1">
      <alignment wrapText="1"/>
    </xf>
    <xf numFmtId="0" fontId="19" fillId="2" borderId="27" xfId="3" applyFont="1" applyFill="1" applyBorder="1" applyAlignment="1">
      <alignment horizontal="left" vertical="center" wrapText="1"/>
    </xf>
    <xf numFmtId="10" fontId="19" fillId="0" borderId="28" xfId="3" applyNumberFormat="1" applyFont="1" applyFill="1" applyBorder="1" applyAlignment="1">
      <alignment horizontal="right" vertical="center" wrapText="1"/>
    </xf>
    <xf numFmtId="10" fontId="19" fillId="2" borderId="28" xfId="3" applyNumberFormat="1" applyFont="1" applyFill="1" applyBorder="1" applyAlignment="1">
      <alignment horizontal="right" vertical="center" wrapText="1"/>
    </xf>
    <xf numFmtId="0" fontId="19" fillId="2" borderId="21" xfId="3" applyFont="1" applyFill="1" applyBorder="1" applyAlignment="1">
      <alignment horizontal="left" vertical="center" wrapText="1"/>
    </xf>
    <xf numFmtId="4" fontId="19" fillId="2" borderId="19" xfId="3" applyNumberFormat="1" applyFont="1" applyFill="1" applyBorder="1" applyAlignment="1">
      <alignment horizontal="right" vertical="center" wrapText="1"/>
    </xf>
    <xf numFmtId="0" fontId="3" fillId="0" borderId="0" xfId="2"/>
    <xf numFmtId="0" fontId="0" fillId="0" borderId="0" xfId="0" applyFont="1"/>
    <xf numFmtId="0" fontId="42" fillId="4" borderId="0" xfId="3" applyFont="1" applyFill="1" applyAlignment="1">
      <alignment vertical="center"/>
    </xf>
    <xf numFmtId="0" fontId="42" fillId="6" borderId="0" xfId="3" applyFont="1" applyFill="1" applyAlignment="1">
      <alignment vertical="center"/>
    </xf>
    <xf numFmtId="0" fontId="32" fillId="4" borderId="0" xfId="3" applyFont="1" applyFill="1" applyAlignment="1">
      <alignment vertical="center"/>
    </xf>
    <xf numFmtId="0" fontId="43" fillId="4" borderId="0" xfId="3" applyFont="1" applyFill="1" applyAlignment="1">
      <alignment vertical="center"/>
    </xf>
    <xf numFmtId="0" fontId="44" fillId="0" borderId="0" xfId="2" applyFont="1"/>
    <xf numFmtId="0" fontId="19" fillId="0" borderId="24" xfId="3" applyFont="1" applyBorder="1" applyAlignment="1">
      <alignment vertical="center" wrapText="1"/>
    </xf>
    <xf numFmtId="0" fontId="19" fillId="0" borderId="29" xfId="3" applyFont="1" applyBorder="1" applyAlignment="1">
      <alignment vertical="center" wrapText="1"/>
    </xf>
    <xf numFmtId="0" fontId="19" fillId="0" borderId="31" xfId="3" applyFont="1" applyBorder="1" applyAlignment="1">
      <alignment vertical="center" wrapText="1"/>
    </xf>
    <xf numFmtId="0" fontId="17" fillId="0" borderId="33" xfId="3" applyFont="1" applyBorder="1" applyAlignment="1">
      <alignment vertical="center" wrapText="1"/>
    </xf>
    <xf numFmtId="9" fontId="17" fillId="0" borderId="34" xfId="3" applyNumberFormat="1" applyFont="1" applyBorder="1" applyAlignment="1">
      <alignment horizontal="left" vertical="center" wrapText="1"/>
    </xf>
    <xf numFmtId="0" fontId="27" fillId="2" borderId="0" xfId="3" applyFont="1" applyFill="1" applyAlignment="1">
      <alignment vertical="center"/>
    </xf>
    <xf numFmtId="0" fontId="26" fillId="2" borderId="0" xfId="3" applyFont="1" applyFill="1"/>
    <xf numFmtId="0" fontId="0" fillId="9" borderId="5" xfId="0" applyFill="1" applyBorder="1"/>
    <xf numFmtId="4" fontId="17" fillId="9" borderId="5" xfId="3" applyNumberFormat="1" applyFont="1" applyFill="1" applyBorder="1" applyAlignment="1">
      <alignment horizontal="right" vertical="center" wrapText="1"/>
    </xf>
    <xf numFmtId="0" fontId="0" fillId="0" borderId="0" xfId="0" applyBorder="1"/>
    <xf numFmtId="0" fontId="17" fillId="0" borderId="37" xfId="3" applyFont="1" applyBorder="1" applyAlignment="1">
      <alignment vertical="center" wrapText="1"/>
    </xf>
    <xf numFmtId="0" fontId="19" fillId="0" borderId="38" xfId="3" applyFont="1" applyBorder="1" applyAlignment="1">
      <alignment vertical="center" wrapText="1"/>
    </xf>
    <xf numFmtId="0" fontId="17" fillId="0" borderId="26" xfId="3" applyFont="1" applyBorder="1" applyAlignment="1">
      <alignment vertical="center" wrapText="1"/>
    </xf>
    <xf numFmtId="0" fontId="19" fillId="0" borderId="27" xfId="3" applyFont="1" applyBorder="1" applyAlignment="1">
      <alignment vertical="center" wrapText="1"/>
    </xf>
    <xf numFmtId="2" fontId="17" fillId="0" borderId="37" xfId="3" applyNumberFormat="1" applyFont="1" applyBorder="1" applyAlignment="1">
      <alignment vertical="center" wrapText="1"/>
    </xf>
    <xf numFmtId="2" fontId="19" fillId="0" borderId="38" xfId="3" applyNumberFormat="1" applyFont="1" applyBorder="1" applyAlignment="1">
      <alignment vertical="center" wrapText="1"/>
    </xf>
    <xf numFmtId="0" fontId="26" fillId="0" borderId="0" xfId="3" applyFont="1" applyBorder="1"/>
    <xf numFmtId="0" fontId="18" fillId="0" borderId="0" xfId="0" applyFont="1" applyBorder="1"/>
    <xf numFmtId="43" fontId="17" fillId="0" borderId="37" xfId="1" applyFont="1" applyBorder="1" applyAlignment="1">
      <alignment vertical="center" wrapText="1"/>
    </xf>
    <xf numFmtId="43" fontId="19" fillId="0" borderId="38" xfId="1" applyFont="1" applyBorder="1" applyAlignment="1">
      <alignment vertical="center" wrapText="1"/>
    </xf>
    <xf numFmtId="0" fontId="39" fillId="0" borderId="38" xfId="0" applyFont="1" applyBorder="1" applyAlignment="1">
      <alignment horizontal="right"/>
    </xf>
    <xf numFmtId="0" fontId="39" fillId="0" borderId="10" xfId="0" applyFont="1" applyBorder="1" applyAlignment="1">
      <alignment horizontal="right"/>
    </xf>
    <xf numFmtId="43" fontId="17" fillId="9" borderId="5" xfId="1" applyFont="1" applyFill="1" applyBorder="1" applyAlignment="1">
      <alignment horizontal="right" vertical="center" wrapText="1"/>
    </xf>
    <xf numFmtId="43" fontId="17" fillId="2" borderId="6" xfId="1" applyFont="1" applyFill="1" applyBorder="1" applyAlignment="1">
      <alignment horizontal="right" vertical="center" wrapText="1"/>
    </xf>
    <xf numFmtId="43" fontId="19" fillId="2" borderId="4" xfId="1" applyFont="1" applyFill="1" applyBorder="1" applyAlignment="1">
      <alignment horizontal="right" vertical="center" wrapText="1"/>
    </xf>
    <xf numFmtId="43" fontId="19" fillId="2" borderId="5" xfId="1" applyFont="1" applyFill="1" applyBorder="1" applyAlignment="1">
      <alignment horizontal="right" vertical="center" wrapText="1"/>
    </xf>
    <xf numFmtId="43" fontId="17" fillId="2" borderId="5" xfId="1" applyFont="1" applyFill="1" applyBorder="1" applyAlignment="1">
      <alignment horizontal="right" vertical="center" wrapText="1"/>
    </xf>
    <xf numFmtId="0" fontId="17" fillId="0" borderId="6" xfId="3" applyFont="1" applyFill="1" applyBorder="1" applyAlignment="1">
      <alignment vertical="center" wrapText="1"/>
    </xf>
    <xf numFmtId="3" fontId="17" fillId="0" borderId="6" xfId="3" applyNumberFormat="1" applyFont="1" applyFill="1" applyBorder="1" applyAlignment="1">
      <alignment horizontal="right" vertical="center" wrapText="1"/>
    </xf>
    <xf numFmtId="0" fontId="17" fillId="0" borderId="31" xfId="3" applyFont="1" applyBorder="1" applyAlignment="1">
      <alignment vertical="center" wrapText="1"/>
    </xf>
    <xf numFmtId="3" fontId="17" fillId="0" borderId="32" xfId="3" applyNumberFormat="1" applyFont="1" applyBorder="1" applyAlignment="1">
      <alignment vertical="center" wrapText="1"/>
    </xf>
    <xf numFmtId="0" fontId="19" fillId="0" borderId="33" xfId="3" applyFont="1" applyBorder="1" applyAlignment="1">
      <alignment vertical="center" wrapText="1"/>
    </xf>
    <xf numFmtId="3" fontId="19" fillId="0" borderId="34" xfId="3" applyNumberFormat="1" applyFont="1" applyBorder="1" applyAlignment="1">
      <alignment vertical="center" wrapText="1"/>
    </xf>
    <xf numFmtId="0" fontId="19" fillId="0" borderId="34" xfId="3" applyFont="1" applyBorder="1" applyAlignment="1">
      <alignment vertical="center" wrapText="1"/>
    </xf>
    <xf numFmtId="3" fontId="19" fillId="0" borderId="35" xfId="3" applyNumberFormat="1" applyFont="1" applyBorder="1" applyAlignment="1">
      <alignment vertical="center" wrapText="1"/>
    </xf>
    <xf numFmtId="0" fontId="17" fillId="2" borderId="5" xfId="3" applyFont="1" applyFill="1" applyBorder="1" applyAlignment="1">
      <alignment vertical="center" wrapText="1"/>
    </xf>
    <xf numFmtId="0" fontId="39" fillId="0" borderId="24" xfId="0" applyFont="1" applyBorder="1"/>
    <xf numFmtId="3" fontId="17" fillId="0" borderId="29" xfId="3" applyNumberFormat="1" applyFont="1" applyBorder="1" applyAlignment="1">
      <alignment vertical="center" wrapText="1"/>
    </xf>
    <xf numFmtId="0" fontId="17" fillId="0" borderId="29" xfId="3" applyFont="1" applyBorder="1" applyAlignment="1">
      <alignment vertical="center" wrapText="1"/>
    </xf>
    <xf numFmtId="0" fontId="0" fillId="0" borderId="26" xfId="0" applyBorder="1"/>
    <xf numFmtId="0" fontId="0" fillId="0" borderId="27" xfId="0" applyBorder="1"/>
    <xf numFmtId="0" fontId="39" fillId="0" borderId="26" xfId="0" applyFont="1" applyBorder="1"/>
    <xf numFmtId="165" fontId="17" fillId="2" borderId="29" xfId="1" applyNumberFormat="1" applyFont="1" applyFill="1" applyBorder="1" applyAlignment="1">
      <alignment horizontal="right" vertical="center" wrapText="1"/>
    </xf>
    <xf numFmtId="165" fontId="17" fillId="2" borderId="30" xfId="1" applyNumberFormat="1" applyFont="1" applyFill="1" applyBorder="1" applyAlignment="1">
      <alignment horizontal="right" vertical="center" wrapText="1"/>
    </xf>
    <xf numFmtId="165" fontId="17" fillId="2" borderId="32" xfId="1" applyNumberFormat="1" applyFont="1" applyFill="1" applyBorder="1" applyAlignment="1">
      <alignment horizontal="right" vertical="center" wrapText="1"/>
    </xf>
    <xf numFmtId="165" fontId="19" fillId="0" borderId="34" xfId="1" applyNumberFormat="1" applyFont="1" applyBorder="1" applyAlignment="1">
      <alignment horizontal="right" vertical="center" wrapText="1"/>
    </xf>
    <xf numFmtId="165" fontId="19" fillId="2" borderId="34" xfId="1" applyNumberFormat="1" applyFont="1" applyFill="1" applyBorder="1" applyAlignment="1">
      <alignment horizontal="right" vertical="center" wrapText="1"/>
    </xf>
    <xf numFmtId="165" fontId="19" fillId="0" borderId="35" xfId="1" applyNumberFormat="1" applyFont="1" applyBorder="1" applyAlignment="1">
      <alignment horizontal="right" vertical="center" wrapText="1"/>
    </xf>
    <xf numFmtId="0" fontId="17" fillId="2" borderId="29" xfId="3" applyFont="1" applyFill="1" applyBorder="1" applyAlignment="1">
      <alignment vertical="center" wrapText="1"/>
    </xf>
    <xf numFmtId="3" fontId="17" fillId="2" borderId="29" xfId="3" applyNumberFormat="1" applyFont="1" applyFill="1" applyBorder="1" applyAlignment="1">
      <alignment vertical="center" wrapText="1"/>
    </xf>
    <xf numFmtId="165" fontId="17" fillId="0" borderId="32" xfId="1" applyNumberFormat="1" applyFont="1" applyBorder="1" applyAlignment="1">
      <alignment horizontal="right" vertical="center" wrapText="1"/>
    </xf>
    <xf numFmtId="3" fontId="19" fillId="2" borderId="34" xfId="3" applyNumberFormat="1" applyFont="1" applyFill="1" applyBorder="1" applyAlignment="1">
      <alignment vertical="center" wrapText="1"/>
    </xf>
    <xf numFmtId="165" fontId="17" fillId="0" borderId="29" xfId="1" applyNumberFormat="1" applyFont="1" applyBorder="1" applyAlignment="1">
      <alignment horizontal="right" vertical="center" wrapText="1"/>
    </xf>
    <xf numFmtId="165" fontId="17" fillId="0" borderId="30" xfId="1" applyNumberFormat="1" applyFont="1" applyBorder="1" applyAlignment="1">
      <alignment horizontal="right" vertical="center" wrapText="1"/>
    </xf>
    <xf numFmtId="0" fontId="19" fillId="2" borderId="34" xfId="3" applyFont="1" applyFill="1" applyBorder="1" applyAlignment="1">
      <alignment vertical="center" wrapText="1"/>
    </xf>
    <xf numFmtId="3" fontId="19" fillId="2" borderId="35" xfId="3" applyNumberFormat="1" applyFont="1" applyFill="1" applyBorder="1" applyAlignment="1">
      <alignment vertical="center" wrapText="1"/>
    </xf>
    <xf numFmtId="0" fontId="20" fillId="0" borderId="5" xfId="3" applyFont="1" applyFill="1" applyBorder="1" applyAlignment="1">
      <alignment vertical="center" wrapText="1"/>
    </xf>
    <xf numFmtId="3" fontId="19" fillId="0" borderId="5" xfId="3" applyNumberFormat="1" applyFont="1" applyFill="1" applyBorder="1" applyAlignment="1">
      <alignment horizontal="right" vertical="center" wrapText="1"/>
    </xf>
    <xf numFmtId="0" fontId="16" fillId="5" borderId="36" xfId="3" applyFont="1" applyFill="1" applyBorder="1" applyAlignment="1">
      <alignment vertical="center" wrapText="1"/>
    </xf>
    <xf numFmtId="0" fontId="16" fillId="5" borderId="36" xfId="3" applyFont="1" applyFill="1" applyBorder="1" applyAlignment="1">
      <alignment horizontal="left" vertical="center" wrapText="1"/>
    </xf>
    <xf numFmtId="0" fontId="16" fillId="5" borderId="17" xfId="3" applyFont="1" applyFill="1" applyBorder="1" applyAlignment="1">
      <alignment horizontal="left" vertical="center" wrapText="1"/>
    </xf>
    <xf numFmtId="9" fontId="16" fillId="5" borderId="17" xfId="8" applyFont="1" applyFill="1" applyBorder="1" applyAlignment="1">
      <alignment horizontal="left" vertical="center" wrapText="1"/>
    </xf>
    <xf numFmtId="0" fontId="9" fillId="9" borderId="0" xfId="0" applyFont="1" applyFill="1" applyAlignment="1">
      <alignment vertical="center"/>
    </xf>
    <xf numFmtId="0" fontId="13" fillId="3" borderId="0" xfId="0" applyFont="1" applyFill="1"/>
    <xf numFmtId="0" fontId="45" fillId="3" borderId="0" xfId="3" applyFont="1" applyFill="1" applyAlignment="1">
      <alignment vertical="center"/>
    </xf>
    <xf numFmtId="0" fontId="2" fillId="3" borderId="0" xfId="3" applyFill="1"/>
    <xf numFmtId="0" fontId="42" fillId="3" borderId="0" xfId="3" applyFont="1" applyFill="1" applyAlignment="1">
      <alignment vertical="center"/>
    </xf>
    <xf numFmtId="0" fontId="25" fillId="3" borderId="0" xfId="3" applyFont="1" applyFill="1" applyAlignment="1">
      <alignment vertical="center"/>
    </xf>
    <xf numFmtId="0" fontId="26" fillId="3" borderId="0" xfId="3" applyFont="1" applyFill="1"/>
    <xf numFmtId="0" fontId="9" fillId="0" borderId="0" xfId="0" applyFont="1" applyFill="1" applyAlignment="1">
      <alignment vertical="center"/>
    </xf>
    <xf numFmtId="0" fontId="0" fillId="0" borderId="0" xfId="0" applyFill="1"/>
    <xf numFmtId="0" fontId="15" fillId="0" borderId="0" xfId="0" applyFont="1" applyFill="1" applyAlignment="1">
      <alignment vertical="center"/>
    </xf>
    <xf numFmtId="0" fontId="46" fillId="0" borderId="0" xfId="0" applyFont="1" applyFill="1" applyAlignment="1">
      <alignment vertical="center"/>
    </xf>
    <xf numFmtId="0" fontId="0" fillId="0" borderId="0" xfId="0" applyFont="1" applyFill="1"/>
    <xf numFmtId="0" fontId="2" fillId="0" borderId="0" xfId="3" applyFill="1"/>
    <xf numFmtId="0" fontId="14" fillId="0" borderId="0" xfId="0" applyFont="1" applyFill="1" applyAlignment="1">
      <alignment vertical="center"/>
    </xf>
    <xf numFmtId="0" fontId="10" fillId="0" borderId="0" xfId="0" applyFont="1" applyFill="1" applyAlignment="1">
      <alignment vertical="center"/>
    </xf>
    <xf numFmtId="0" fontId="16" fillId="10" borderId="42" xfId="3" applyFont="1" applyFill="1" applyBorder="1" applyAlignment="1">
      <alignment vertical="center" wrapText="1"/>
    </xf>
    <xf numFmtId="0" fontId="16" fillId="10" borderId="36" xfId="3" applyFont="1" applyFill="1" applyBorder="1" applyAlignment="1">
      <alignment vertical="center" wrapText="1"/>
    </xf>
    <xf numFmtId="3" fontId="17" fillId="2" borderId="37" xfId="3" applyNumberFormat="1" applyFont="1" applyFill="1" applyBorder="1" applyAlignment="1">
      <alignment horizontal="right" vertical="center" wrapText="1"/>
    </xf>
    <xf numFmtId="3" fontId="17" fillId="2" borderId="37" xfId="3" applyNumberFormat="1" applyFont="1" applyFill="1" applyBorder="1" applyAlignment="1">
      <alignment vertical="center" wrapText="1"/>
    </xf>
    <xf numFmtId="3" fontId="17" fillId="2" borderId="38" xfId="3" applyNumberFormat="1" applyFont="1" applyFill="1" applyBorder="1" applyAlignment="1">
      <alignment horizontal="right" vertical="center" wrapText="1"/>
    </xf>
    <xf numFmtId="0" fontId="19" fillId="2" borderId="37" xfId="3" applyFont="1" applyFill="1" applyBorder="1" applyAlignment="1">
      <alignment vertical="center" wrapText="1"/>
    </xf>
    <xf numFmtId="0" fontId="0" fillId="0" borderId="37" xfId="0" applyBorder="1"/>
    <xf numFmtId="0" fontId="0" fillId="0" borderId="38" xfId="0" applyBorder="1"/>
    <xf numFmtId="0" fontId="17" fillId="0" borderId="37" xfId="3" applyFont="1" applyFill="1" applyBorder="1" applyAlignment="1">
      <alignment vertical="center" wrapText="1"/>
    </xf>
    <xf numFmtId="0" fontId="17" fillId="0" borderId="38" xfId="3" applyFont="1" applyFill="1" applyBorder="1" applyAlignment="1">
      <alignment vertical="center" wrapText="1"/>
    </xf>
    <xf numFmtId="3" fontId="19" fillId="2" borderId="37" xfId="3" applyNumberFormat="1" applyFont="1" applyFill="1" applyBorder="1" applyAlignment="1">
      <alignment horizontal="right" vertical="center" wrapText="1"/>
    </xf>
    <xf numFmtId="0" fontId="16" fillId="10" borderId="36" xfId="3" applyFont="1" applyFill="1" applyBorder="1" applyAlignment="1">
      <alignment horizontal="center" vertical="center" wrapText="1"/>
    </xf>
    <xf numFmtId="165" fontId="41" fillId="0" borderId="37" xfId="1" applyNumberFormat="1" applyFont="1" applyFill="1" applyBorder="1" applyAlignment="1">
      <alignment horizontal="right" vertical="center" wrapText="1"/>
    </xf>
    <xf numFmtId="165" fontId="41" fillId="0" borderId="38" xfId="1" applyNumberFormat="1" applyFont="1" applyFill="1" applyBorder="1" applyAlignment="1">
      <alignment horizontal="right" vertical="center" wrapText="1"/>
    </xf>
    <xf numFmtId="0" fontId="19" fillId="2" borderId="36" xfId="3" applyFont="1" applyFill="1" applyBorder="1" applyAlignment="1">
      <alignment vertical="center" wrapText="1"/>
    </xf>
    <xf numFmtId="0" fontId="19" fillId="0" borderId="36" xfId="3" applyFont="1" applyFill="1" applyBorder="1" applyAlignment="1">
      <alignment vertical="center" wrapText="1"/>
    </xf>
    <xf numFmtId="165" fontId="16" fillId="0" borderId="36" xfId="1" applyNumberFormat="1" applyFont="1" applyFill="1" applyBorder="1" applyAlignment="1">
      <alignment horizontal="right" vertical="center" wrapText="1"/>
    </xf>
    <xf numFmtId="0" fontId="19" fillId="2" borderId="38" xfId="3" applyFont="1" applyFill="1" applyBorder="1" applyAlignment="1">
      <alignment vertical="center" wrapText="1"/>
    </xf>
    <xf numFmtId="165" fontId="16" fillId="2" borderId="36" xfId="1" applyNumberFormat="1" applyFont="1" applyFill="1" applyBorder="1" applyAlignment="1">
      <alignment horizontal="right" vertical="center" wrapText="1"/>
    </xf>
    <xf numFmtId="2" fontId="17" fillId="2" borderId="37" xfId="3" applyNumberFormat="1" applyFont="1" applyFill="1" applyBorder="1" applyAlignment="1">
      <alignment horizontal="right" vertical="center" wrapText="1"/>
    </xf>
    <xf numFmtId="2" fontId="21" fillId="2" borderId="38" xfId="0" applyNumberFormat="1" applyFont="1" applyFill="1" applyBorder="1" applyAlignment="1">
      <alignment horizontal="right" vertical="center" wrapText="1"/>
    </xf>
    <xf numFmtId="49" fontId="17" fillId="2" borderId="37" xfId="3" applyNumberFormat="1" applyFont="1" applyFill="1" applyBorder="1" applyAlignment="1">
      <alignment horizontal="right" vertical="center" wrapText="1"/>
    </xf>
    <xf numFmtId="49" fontId="21" fillId="2" borderId="38" xfId="0" applyNumberFormat="1" applyFont="1" applyFill="1" applyBorder="1" applyAlignment="1">
      <alignment horizontal="right" vertical="center" wrapText="1"/>
    </xf>
    <xf numFmtId="3" fontId="21" fillId="2" borderId="38" xfId="0" applyNumberFormat="1" applyFont="1" applyFill="1" applyBorder="1" applyAlignment="1">
      <alignment horizontal="right" vertical="center" wrapText="1"/>
    </xf>
    <xf numFmtId="0" fontId="17" fillId="2" borderId="37" xfId="3" applyFont="1" applyFill="1" applyBorder="1" applyAlignment="1">
      <alignment vertical="center" wrapText="1"/>
    </xf>
    <xf numFmtId="0" fontId="17" fillId="2" borderId="38" xfId="3" applyFont="1" applyFill="1" applyBorder="1" applyAlignment="1">
      <alignment vertical="center" wrapText="1"/>
    </xf>
    <xf numFmtId="3" fontId="15" fillId="2" borderId="37" xfId="0" applyNumberFormat="1" applyFont="1" applyFill="1" applyBorder="1"/>
    <xf numFmtId="3" fontId="21" fillId="2" borderId="37" xfId="0" applyNumberFormat="1" applyFont="1" applyFill="1" applyBorder="1"/>
    <xf numFmtId="3" fontId="21" fillId="2" borderId="38" xfId="0" applyNumberFormat="1" applyFont="1" applyFill="1" applyBorder="1"/>
    <xf numFmtId="0" fontId="16" fillId="10" borderId="24" xfId="3" applyFont="1" applyFill="1" applyBorder="1" applyAlignment="1">
      <alignment horizontal="left" vertical="center" wrapText="1"/>
    </xf>
    <xf numFmtId="0" fontId="17" fillId="2" borderId="26" xfId="3" applyFont="1" applyFill="1" applyBorder="1" applyAlignment="1">
      <alignment vertical="center" wrapText="1"/>
    </xf>
    <xf numFmtId="0" fontId="17" fillId="2" borderId="0" xfId="3" applyFont="1" applyFill="1" applyBorder="1" applyAlignment="1">
      <alignment vertical="center" wrapText="1"/>
    </xf>
    <xf numFmtId="0" fontId="17" fillId="2" borderId="27" xfId="3" applyFont="1" applyFill="1" applyBorder="1" applyAlignment="1">
      <alignment vertical="center" wrapText="1"/>
    </xf>
    <xf numFmtId="0" fontId="15" fillId="2" borderId="37" xfId="0" applyFont="1" applyFill="1" applyBorder="1" applyAlignment="1">
      <alignment horizontal="right"/>
    </xf>
    <xf numFmtId="0" fontId="21" fillId="2" borderId="37" xfId="0" applyFont="1" applyFill="1" applyBorder="1" applyAlignment="1">
      <alignment horizontal="right"/>
    </xf>
    <xf numFmtId="0" fontId="21" fillId="2" borderId="38" xfId="0" applyFont="1" applyFill="1" applyBorder="1" applyAlignment="1">
      <alignment horizontal="right"/>
    </xf>
    <xf numFmtId="3" fontId="19" fillId="2" borderId="26" xfId="3" applyNumberFormat="1" applyFont="1" applyFill="1" applyBorder="1" applyAlignment="1">
      <alignment horizontal="right" vertical="center" wrapText="1"/>
    </xf>
    <xf numFmtId="3" fontId="17" fillId="2" borderId="26" xfId="3" applyNumberFormat="1" applyFont="1" applyFill="1" applyBorder="1" applyAlignment="1">
      <alignment horizontal="right" vertical="center" wrapText="1"/>
    </xf>
    <xf numFmtId="3" fontId="21" fillId="2" borderId="27" xfId="0" applyNumberFormat="1" applyFont="1" applyFill="1" applyBorder="1" applyAlignment="1">
      <alignment horizontal="right" vertical="center" wrapText="1"/>
    </xf>
    <xf numFmtId="166" fontId="17" fillId="2" borderId="37" xfId="8" applyNumberFormat="1" applyFont="1" applyFill="1" applyBorder="1" applyAlignment="1">
      <alignment horizontal="left" vertical="center" wrapText="1"/>
    </xf>
    <xf numFmtId="166" fontId="17" fillId="2" borderId="38" xfId="8" applyNumberFormat="1" applyFont="1" applyFill="1" applyBorder="1" applyAlignment="1">
      <alignment horizontal="left" vertical="center" wrapText="1"/>
    </xf>
    <xf numFmtId="166" fontId="19" fillId="2" borderId="36" xfId="3" applyNumberFormat="1" applyFont="1" applyFill="1" applyBorder="1" applyAlignment="1">
      <alignment horizontal="right" vertical="center" wrapText="1"/>
    </xf>
    <xf numFmtId="10" fontId="17" fillId="2" borderId="37" xfId="3" applyNumberFormat="1" applyFont="1" applyFill="1" applyBorder="1" applyAlignment="1">
      <alignment horizontal="right" vertical="center" wrapText="1"/>
    </xf>
    <xf numFmtId="10" fontId="17" fillId="2" borderId="38" xfId="3" applyNumberFormat="1" applyFont="1" applyFill="1" applyBorder="1" applyAlignment="1">
      <alignment horizontal="right" vertical="center" wrapText="1"/>
    </xf>
    <xf numFmtId="169" fontId="19" fillId="2" borderId="36" xfId="3" applyNumberFormat="1" applyFont="1" applyFill="1" applyBorder="1" applyAlignment="1">
      <alignment horizontal="right" vertical="center" wrapText="1"/>
    </xf>
    <xf numFmtId="166" fontId="17" fillId="2" borderId="37" xfId="3" applyNumberFormat="1" applyFont="1" applyFill="1" applyBorder="1" applyAlignment="1">
      <alignment horizontal="right" vertical="center" wrapText="1"/>
    </xf>
    <xf numFmtId="166" fontId="17" fillId="2" borderId="38" xfId="3" applyNumberFormat="1" applyFont="1" applyFill="1" applyBorder="1" applyAlignment="1">
      <alignment horizontal="right" vertical="center" wrapText="1"/>
    </xf>
    <xf numFmtId="166" fontId="17" fillId="2" borderId="37" xfId="8" applyNumberFormat="1" applyFont="1" applyFill="1" applyBorder="1" applyAlignment="1">
      <alignment horizontal="right" vertical="center" wrapText="1"/>
    </xf>
    <xf numFmtId="166" fontId="17" fillId="2" borderId="38" xfId="8" applyNumberFormat="1" applyFont="1" applyFill="1" applyBorder="1" applyAlignment="1">
      <alignment horizontal="right" vertical="center" wrapText="1"/>
    </xf>
    <xf numFmtId="0" fontId="21" fillId="2" borderId="0" xfId="0" applyFont="1" applyFill="1" applyBorder="1" applyAlignment="1">
      <alignment horizontal="right"/>
    </xf>
    <xf numFmtId="4" fontId="15" fillId="2" borderId="37" xfId="0" applyNumberFormat="1" applyFont="1" applyFill="1" applyBorder="1" applyAlignment="1">
      <alignment horizontal="right"/>
    </xf>
    <xf numFmtId="4" fontId="21" fillId="2" borderId="37" xfId="0" applyNumberFormat="1" applyFont="1" applyFill="1" applyBorder="1" applyAlignment="1">
      <alignment horizontal="right"/>
    </xf>
    <xf numFmtId="4" fontId="21" fillId="2" borderId="38" xfId="0" applyNumberFormat="1" applyFont="1" applyFill="1" applyBorder="1" applyAlignment="1">
      <alignment horizontal="right"/>
    </xf>
    <xf numFmtId="0" fontId="16" fillId="10" borderId="41" xfId="3" applyFont="1" applyFill="1" applyBorder="1" applyAlignment="1">
      <alignment horizontal="center" vertical="center" wrapText="1"/>
    </xf>
    <xf numFmtId="0" fontId="16" fillId="10" borderId="41" xfId="3" applyFont="1" applyFill="1" applyBorder="1" applyAlignment="1">
      <alignment horizontal="left" vertical="center" wrapText="1"/>
    </xf>
    <xf numFmtId="169" fontId="17" fillId="2" borderId="48" xfId="3" applyNumberFormat="1" applyFont="1" applyFill="1" applyBorder="1" applyAlignment="1">
      <alignment horizontal="right" vertical="center" wrapText="1"/>
    </xf>
    <xf numFmtId="169" fontId="21" fillId="2" borderId="49" xfId="0" applyNumberFormat="1" applyFont="1" applyFill="1" applyBorder="1" applyAlignment="1">
      <alignment horizontal="right" vertical="center" wrapText="1"/>
    </xf>
    <xf numFmtId="169" fontId="17" fillId="2" borderId="37" xfId="3" applyNumberFormat="1" applyFont="1" applyFill="1" applyBorder="1" applyAlignment="1">
      <alignment horizontal="right" vertical="center" wrapText="1"/>
    </xf>
    <xf numFmtId="169" fontId="21" fillId="2" borderId="38" xfId="0" applyNumberFormat="1" applyFont="1" applyFill="1" applyBorder="1" applyAlignment="1">
      <alignment horizontal="right" vertical="center" wrapText="1"/>
    </xf>
    <xf numFmtId="169" fontId="19" fillId="2" borderId="37" xfId="3" applyNumberFormat="1" applyFont="1" applyFill="1" applyBorder="1" applyAlignment="1">
      <alignment horizontal="right" vertical="center" wrapText="1"/>
    </xf>
    <xf numFmtId="169" fontId="19" fillId="2" borderId="48" xfId="3" applyNumberFormat="1" applyFont="1" applyFill="1" applyBorder="1" applyAlignment="1">
      <alignment horizontal="right" vertical="center" wrapText="1"/>
    </xf>
    <xf numFmtId="0" fontId="19" fillId="2" borderId="26" xfId="3" applyFont="1" applyFill="1" applyBorder="1" applyAlignment="1">
      <alignment vertical="center" wrapText="1"/>
    </xf>
    <xf numFmtId="166" fontId="19" fillId="2" borderId="36" xfId="8" applyNumberFormat="1" applyFont="1" applyFill="1" applyBorder="1" applyAlignment="1">
      <alignment horizontal="left" vertical="center" wrapText="1"/>
    </xf>
    <xf numFmtId="166" fontId="19" fillId="2" borderId="36" xfId="8" applyNumberFormat="1" applyFont="1" applyFill="1" applyBorder="1" applyAlignment="1">
      <alignment horizontal="right" vertical="center" wrapText="1"/>
    </xf>
    <xf numFmtId="0" fontId="20" fillId="10" borderId="36" xfId="3" applyFont="1" applyFill="1" applyBorder="1" applyAlignment="1">
      <alignment horizontal="left" vertical="center" wrapText="1"/>
    </xf>
    <xf numFmtId="0" fontId="15" fillId="2" borderId="37" xfId="0" applyFont="1" applyFill="1" applyBorder="1" applyAlignment="1">
      <alignment horizontal="right" vertical="center"/>
    </xf>
    <xf numFmtId="2" fontId="15" fillId="2" borderId="37" xfId="0" applyNumberFormat="1" applyFont="1" applyFill="1" applyBorder="1" applyAlignment="1">
      <alignment horizontal="right"/>
    </xf>
    <xf numFmtId="2" fontId="21" fillId="2" borderId="37" xfId="0" applyNumberFormat="1" applyFont="1" applyFill="1" applyBorder="1" applyAlignment="1">
      <alignment horizontal="right"/>
    </xf>
    <xf numFmtId="2" fontId="21" fillId="2" borderId="38" xfId="0" applyNumberFormat="1" applyFont="1" applyFill="1" applyBorder="1" applyAlignment="1">
      <alignment horizontal="right"/>
    </xf>
    <xf numFmtId="4" fontId="19" fillId="2" borderId="37" xfId="3" applyNumberFormat="1" applyFont="1" applyFill="1" applyBorder="1" applyAlignment="1">
      <alignment horizontal="right" vertical="center" wrapText="1"/>
    </xf>
    <xf numFmtId="4" fontId="17" fillId="2" borderId="37" xfId="3" applyNumberFormat="1" applyFont="1" applyFill="1" applyBorder="1" applyAlignment="1">
      <alignment horizontal="right" vertical="center" wrapText="1"/>
    </xf>
    <xf numFmtId="4" fontId="21" fillId="2" borderId="38" xfId="0" applyNumberFormat="1" applyFont="1" applyFill="1" applyBorder="1" applyAlignment="1">
      <alignment horizontal="right" vertical="center" wrapText="1"/>
    </xf>
    <xf numFmtId="2" fontId="15" fillId="2" borderId="37" xfId="0" applyNumberFormat="1" applyFont="1" applyFill="1" applyBorder="1"/>
    <xf numFmtId="2" fontId="21" fillId="2" borderId="37" xfId="0" applyNumberFormat="1" applyFont="1" applyFill="1" applyBorder="1"/>
    <xf numFmtId="2" fontId="21" fillId="2" borderId="38" xfId="0" applyNumberFormat="1" applyFont="1" applyFill="1" applyBorder="1"/>
    <xf numFmtId="10" fontId="19" fillId="2" borderId="37" xfId="3" applyNumberFormat="1" applyFont="1" applyFill="1" applyBorder="1" applyAlignment="1">
      <alignment horizontal="right" vertical="center" wrapText="1"/>
    </xf>
    <xf numFmtId="10" fontId="21" fillId="2" borderId="38" xfId="0" applyNumberFormat="1" applyFont="1" applyFill="1" applyBorder="1" applyAlignment="1">
      <alignment horizontal="right" vertical="center" wrapText="1"/>
    </xf>
    <xf numFmtId="2" fontId="17" fillId="2" borderId="37" xfId="3" applyNumberFormat="1" applyFont="1" applyFill="1" applyBorder="1" applyAlignment="1">
      <alignment vertical="center" wrapText="1"/>
    </xf>
    <xf numFmtId="167" fontId="15" fillId="2" borderId="37" xfId="0" applyNumberFormat="1" applyFont="1" applyFill="1" applyBorder="1"/>
    <xf numFmtId="167" fontId="21" fillId="2" borderId="37" xfId="0" applyNumberFormat="1" applyFont="1" applyFill="1" applyBorder="1"/>
    <xf numFmtId="167" fontId="21" fillId="2" borderId="38" xfId="0" applyNumberFormat="1" applyFont="1" applyFill="1" applyBorder="1"/>
    <xf numFmtId="167" fontId="19" fillId="2" borderId="37" xfId="3" applyNumberFormat="1" applyFont="1" applyFill="1" applyBorder="1" applyAlignment="1">
      <alignment horizontal="right" vertical="center" wrapText="1"/>
    </xf>
    <xf numFmtId="167" fontId="17" fillId="2" borderId="37" xfId="3" applyNumberFormat="1" applyFont="1" applyFill="1" applyBorder="1" applyAlignment="1">
      <alignment vertical="center" wrapText="1"/>
    </xf>
    <xf numFmtId="167" fontId="21" fillId="2" borderId="38" xfId="0" applyNumberFormat="1" applyFont="1" applyFill="1" applyBorder="1" applyAlignment="1">
      <alignment horizontal="right" vertical="center" wrapText="1"/>
    </xf>
    <xf numFmtId="167" fontId="19" fillId="2" borderId="26" xfId="3" applyNumberFormat="1" applyFont="1" applyFill="1" applyBorder="1" applyAlignment="1">
      <alignment horizontal="right" vertical="center" wrapText="1"/>
    </xf>
    <xf numFmtId="167" fontId="17" fillId="2" borderId="26" xfId="3" applyNumberFormat="1" applyFont="1" applyFill="1" applyBorder="1" applyAlignment="1">
      <alignment vertical="center" wrapText="1"/>
    </xf>
    <xf numFmtId="167" fontId="21" fillId="2" borderId="27" xfId="0" applyNumberFormat="1" applyFont="1" applyFill="1" applyBorder="1" applyAlignment="1">
      <alignment horizontal="right" vertical="center" wrapText="1"/>
    </xf>
    <xf numFmtId="166" fontId="17" fillId="2" borderId="37" xfId="3" applyNumberFormat="1" applyFont="1" applyFill="1" applyBorder="1" applyAlignment="1">
      <alignment vertical="center" wrapText="1"/>
    </xf>
    <xf numFmtId="166" fontId="17" fillId="2" borderId="38" xfId="3" applyNumberFormat="1" applyFont="1" applyFill="1" applyBorder="1" applyAlignment="1">
      <alignment vertical="center" wrapText="1"/>
    </xf>
    <xf numFmtId="166" fontId="17" fillId="0" borderId="37" xfId="3" applyNumberFormat="1" applyFont="1" applyBorder="1" applyAlignment="1">
      <alignment vertical="center" wrapText="1"/>
    </xf>
    <xf numFmtId="166" fontId="17" fillId="0" borderId="38" xfId="3" applyNumberFormat="1" applyFont="1" applyBorder="1" applyAlignment="1">
      <alignment vertical="center" wrapText="1"/>
    </xf>
    <xf numFmtId="9" fontId="17" fillId="2" borderId="37" xfId="3" applyNumberFormat="1" applyFont="1" applyFill="1" applyBorder="1" applyAlignment="1">
      <alignment horizontal="right" vertical="center" wrapText="1"/>
    </xf>
    <xf numFmtId="9" fontId="21" fillId="2" borderId="38" xfId="0" applyNumberFormat="1" applyFont="1" applyFill="1" applyBorder="1" applyAlignment="1">
      <alignment horizontal="right" vertical="center" wrapText="1"/>
    </xf>
    <xf numFmtId="166" fontId="21" fillId="2" borderId="38" xfId="0" applyNumberFormat="1" applyFont="1" applyFill="1" applyBorder="1" applyAlignment="1">
      <alignment horizontal="right" vertical="center" wrapText="1"/>
    </xf>
    <xf numFmtId="167" fontId="21" fillId="0" borderId="38" xfId="0" applyNumberFormat="1" applyFont="1" applyBorder="1" applyAlignment="1">
      <alignment horizontal="right" vertical="center" wrapText="1"/>
    </xf>
    <xf numFmtId="0" fontId="17" fillId="0" borderId="38" xfId="3" applyFont="1" applyBorder="1" applyAlignment="1">
      <alignment vertical="center" wrapText="1"/>
    </xf>
    <xf numFmtId="165" fontId="21" fillId="2" borderId="38" xfId="1" applyNumberFormat="1" applyFont="1" applyFill="1" applyBorder="1" applyAlignment="1">
      <alignment horizontal="right" vertical="center" wrapText="1"/>
    </xf>
    <xf numFmtId="165" fontId="21" fillId="0" borderId="38" xfId="1" applyNumberFormat="1" applyFont="1" applyBorder="1" applyAlignment="1">
      <alignment horizontal="right" vertical="center" wrapText="1"/>
    </xf>
    <xf numFmtId="0" fontId="19" fillId="2" borderId="24" xfId="3" applyFont="1" applyFill="1" applyBorder="1" applyAlignment="1">
      <alignment vertical="center" wrapText="1"/>
    </xf>
    <xf numFmtId="2" fontId="17" fillId="2" borderId="26" xfId="3" applyNumberFormat="1" applyFont="1" applyFill="1" applyBorder="1" applyAlignment="1">
      <alignment vertical="center" wrapText="1"/>
    </xf>
    <xf numFmtId="0" fontId="16" fillId="10" borderId="50" xfId="3" applyFont="1" applyFill="1" applyBorder="1" applyAlignment="1">
      <alignment horizontal="left" vertical="center" wrapText="1"/>
    </xf>
    <xf numFmtId="2" fontId="19" fillId="2" borderId="36" xfId="3" applyNumberFormat="1" applyFont="1" applyFill="1" applyBorder="1" applyAlignment="1">
      <alignment vertical="center" wrapText="1"/>
    </xf>
    <xf numFmtId="0" fontId="19" fillId="2" borderId="41" xfId="3" applyFont="1" applyFill="1" applyBorder="1" applyAlignment="1">
      <alignment vertical="center" wrapText="1"/>
    </xf>
    <xf numFmtId="4" fontId="19" fillId="2" borderId="36" xfId="3" applyNumberFormat="1" applyFont="1" applyFill="1" applyBorder="1" applyAlignment="1">
      <alignment vertical="center" wrapText="1"/>
    </xf>
    <xf numFmtId="4" fontId="17" fillId="2" borderId="37" xfId="3" applyNumberFormat="1" applyFont="1" applyFill="1" applyBorder="1" applyAlignment="1">
      <alignment vertical="center" wrapText="1"/>
    </xf>
    <xf numFmtId="2" fontId="21" fillId="2" borderId="37" xfId="0" applyNumberFormat="1" applyFont="1" applyFill="1" applyBorder="1" applyAlignment="1">
      <alignment horizontal="right" vertical="center" wrapText="1"/>
    </xf>
    <xf numFmtId="2" fontId="15" fillId="2" borderId="41" xfId="0" applyNumberFormat="1" applyFont="1" applyFill="1" applyBorder="1" applyAlignment="1">
      <alignment horizontal="right" vertical="center" wrapText="1"/>
    </xf>
    <xf numFmtId="0" fontId="3" fillId="0" borderId="0" xfId="2" applyFill="1" applyAlignment="1">
      <alignment vertical="center"/>
    </xf>
    <xf numFmtId="0" fontId="44" fillId="0" borderId="0" xfId="2" applyFont="1" applyFill="1" applyAlignment="1">
      <alignment vertical="center"/>
    </xf>
    <xf numFmtId="0" fontId="44" fillId="0" borderId="0" xfId="2" applyFont="1" applyFill="1" applyAlignment="1">
      <alignment vertical="top"/>
    </xf>
    <xf numFmtId="0" fontId="47" fillId="3" borderId="0" xfId="0" applyFont="1" applyFill="1"/>
    <xf numFmtId="0" fontId="48" fillId="3" borderId="0" xfId="0" applyFont="1" applyFill="1"/>
    <xf numFmtId="1" fontId="19" fillId="2" borderId="26" xfId="3" applyNumberFormat="1" applyFont="1" applyFill="1" applyBorder="1" applyAlignment="1">
      <alignment horizontal="right" vertical="center" wrapText="1"/>
    </xf>
    <xf numFmtId="1" fontId="17" fillId="2" borderId="26" xfId="3" applyNumberFormat="1" applyFont="1" applyFill="1" applyBorder="1" applyAlignment="1">
      <alignment vertical="center" wrapText="1"/>
    </xf>
    <xf numFmtId="1" fontId="21" fillId="2" borderId="27" xfId="0" applyNumberFormat="1" applyFont="1" applyFill="1" applyBorder="1" applyAlignment="1">
      <alignment horizontal="right" vertical="center" wrapText="1"/>
    </xf>
    <xf numFmtId="166" fontId="21" fillId="2" borderId="37" xfId="0" applyNumberFormat="1" applyFont="1" applyFill="1" applyBorder="1"/>
    <xf numFmtId="166" fontId="21" fillId="2" borderId="38" xfId="0" applyNumberFormat="1" applyFont="1" applyFill="1" applyBorder="1"/>
    <xf numFmtId="3" fontId="17" fillId="9" borderId="37" xfId="3" applyNumberFormat="1" applyFont="1" applyFill="1" applyBorder="1" applyAlignment="1">
      <alignment horizontal="right" vertical="center" wrapText="1"/>
    </xf>
    <xf numFmtId="3" fontId="17" fillId="9" borderId="38" xfId="3" applyNumberFormat="1" applyFont="1" applyFill="1" applyBorder="1" applyAlignment="1">
      <alignment horizontal="right" vertical="center" wrapText="1"/>
    </xf>
    <xf numFmtId="16" fontId="0" fillId="2" borderId="0" xfId="0" applyNumberFormat="1" applyFill="1"/>
    <xf numFmtId="0" fontId="23" fillId="0" borderId="0" xfId="0" applyFont="1" applyFill="1" applyAlignment="1">
      <alignment vertical="top" wrapText="1"/>
    </xf>
    <xf numFmtId="0" fontId="0" fillId="0" borderId="0" xfId="0" applyFill="1" applyAlignment="1">
      <alignment horizontal="left" vertical="top"/>
    </xf>
    <xf numFmtId="0" fontId="23" fillId="0" borderId="0" xfId="0" applyFont="1" applyFill="1" applyAlignment="1">
      <alignment horizontal="left" vertical="top" wrapText="1"/>
    </xf>
    <xf numFmtId="0" fontId="0" fillId="0" borderId="0" xfId="0" applyFill="1" applyAlignment="1">
      <alignment horizontal="left" vertical="top" wrapText="1"/>
    </xf>
    <xf numFmtId="0" fontId="23" fillId="0" borderId="0" xfId="0" applyFont="1" applyFill="1" applyAlignment="1">
      <alignment horizontal="left" vertical="top"/>
    </xf>
    <xf numFmtId="0" fontId="3" fillId="0" borderId="0" xfId="2" applyFill="1" applyAlignment="1">
      <alignment horizontal="left" vertical="top"/>
    </xf>
    <xf numFmtId="0" fontId="23" fillId="0" borderId="0" xfId="0" applyFont="1" applyFill="1" applyAlignment="1">
      <alignment vertical="top"/>
    </xf>
    <xf numFmtId="0" fontId="3" fillId="3" borderId="0" xfId="2" applyFill="1" applyAlignment="1">
      <alignment vertical="center"/>
    </xf>
    <xf numFmtId="0" fontId="3" fillId="10" borderId="36" xfId="2" applyFill="1" applyBorder="1" applyAlignment="1">
      <alignment vertical="center" wrapText="1"/>
    </xf>
    <xf numFmtId="0" fontId="3" fillId="10" borderId="36" xfId="2" applyFill="1" applyBorder="1" applyAlignment="1">
      <alignment horizontal="left" vertical="center" wrapText="1"/>
    </xf>
    <xf numFmtId="0" fontId="3" fillId="2" borderId="36" xfId="2" applyFill="1" applyBorder="1" applyAlignment="1">
      <alignment vertical="center" wrapText="1"/>
    </xf>
    <xf numFmtId="0" fontId="49" fillId="3" borderId="0" xfId="2" applyFont="1" applyFill="1" applyAlignment="1">
      <alignment vertical="top"/>
    </xf>
    <xf numFmtId="0" fontId="3" fillId="2" borderId="38" xfId="2" applyFill="1" applyBorder="1" applyAlignment="1">
      <alignment vertical="center" wrapText="1"/>
    </xf>
    <xf numFmtId="2" fontId="3" fillId="2" borderId="37" xfId="2" applyNumberFormat="1" applyFill="1" applyBorder="1" applyAlignment="1">
      <alignment vertical="center" wrapText="1"/>
    </xf>
    <xf numFmtId="0" fontId="3" fillId="2" borderId="24" xfId="2" applyFill="1" applyBorder="1" applyAlignment="1">
      <alignment vertical="center" wrapText="1"/>
    </xf>
    <xf numFmtId="0" fontId="3" fillId="2" borderId="41" xfId="2" applyFill="1" applyBorder="1" applyAlignment="1">
      <alignment vertical="center" wrapText="1"/>
    </xf>
    <xf numFmtId="4" fontId="17" fillId="0" borderId="5" xfId="3" applyNumberFormat="1" applyFont="1" applyFill="1" applyBorder="1" applyAlignment="1">
      <alignment horizontal="right" vertical="center" wrapText="1"/>
    </xf>
    <xf numFmtId="2" fontId="17" fillId="0" borderId="5" xfId="3" applyNumberFormat="1" applyFont="1" applyFill="1" applyBorder="1" applyAlignment="1">
      <alignment horizontal="right" vertical="center" wrapText="1"/>
    </xf>
    <xf numFmtId="164" fontId="17" fillId="0" borderId="5" xfId="3" applyNumberFormat="1" applyFont="1" applyFill="1" applyBorder="1" applyAlignment="1">
      <alignment vertical="center" wrapText="1"/>
    </xf>
    <xf numFmtId="4" fontId="17" fillId="0" borderId="5" xfId="3" applyNumberFormat="1" applyFont="1" applyFill="1" applyBorder="1" applyAlignment="1">
      <alignment vertical="center" wrapText="1"/>
    </xf>
    <xf numFmtId="164" fontId="17" fillId="0" borderId="6" xfId="3" applyNumberFormat="1" applyFont="1" applyFill="1" applyBorder="1" applyAlignment="1">
      <alignment horizontal="right" vertical="center" wrapText="1"/>
    </xf>
    <xf numFmtId="0" fontId="17" fillId="0" borderId="0" xfId="3" applyFont="1" applyFill="1"/>
    <xf numFmtId="0" fontId="21" fillId="0" borderId="0" xfId="0" applyFont="1" applyFill="1"/>
    <xf numFmtId="4" fontId="3" fillId="0" borderId="6" xfId="2" applyNumberFormat="1" applyBorder="1" applyAlignment="1">
      <alignment horizontal="right" vertical="center" wrapText="1"/>
    </xf>
    <xf numFmtId="0" fontId="3" fillId="5" borderId="36" xfId="2" applyFill="1" applyBorder="1" applyAlignment="1">
      <alignment horizontal="left" vertical="center" wrapText="1"/>
    </xf>
    <xf numFmtId="0" fontId="3" fillId="0" borderId="5" xfId="2" applyBorder="1" applyAlignment="1">
      <alignment vertical="center" wrapText="1"/>
    </xf>
    <xf numFmtId="0" fontId="19" fillId="0" borderId="0" xfId="3" applyFont="1" applyBorder="1" applyAlignment="1">
      <alignment vertical="center" wrapText="1"/>
    </xf>
    <xf numFmtId="0" fontId="39" fillId="0" borderId="0" xfId="0" applyFont="1" applyBorder="1" applyAlignment="1">
      <alignment horizontal="right"/>
    </xf>
    <xf numFmtId="0" fontId="39" fillId="0" borderId="38" xfId="0" applyFont="1" applyFill="1" applyBorder="1" applyAlignment="1">
      <alignment horizontal="right"/>
    </xf>
    <xf numFmtId="171" fontId="19" fillId="2" borderId="4" xfId="1" applyNumberFormat="1" applyFont="1" applyFill="1" applyBorder="1" applyAlignment="1">
      <alignment horizontal="right" vertical="center" wrapText="1"/>
    </xf>
    <xf numFmtId="0" fontId="39" fillId="4" borderId="0" xfId="0" applyFont="1" applyFill="1"/>
    <xf numFmtId="0" fontId="39" fillId="0" borderId="26" xfId="0" applyFont="1" applyFill="1" applyBorder="1"/>
    <xf numFmtId="0" fontId="0" fillId="0" borderId="27" xfId="0" applyFill="1" applyBorder="1"/>
    <xf numFmtId="0" fontId="0" fillId="0" borderId="26" xfId="0" applyFill="1" applyBorder="1"/>
    <xf numFmtId="0" fontId="4" fillId="0" borderId="38" xfId="3" applyFont="1" applyFill="1" applyBorder="1" applyAlignment="1">
      <alignment vertical="center"/>
    </xf>
    <xf numFmtId="0" fontId="4" fillId="0" borderId="37" xfId="3" applyFont="1" applyFill="1" applyBorder="1" applyAlignment="1">
      <alignment vertical="center"/>
    </xf>
    <xf numFmtId="0" fontId="19" fillId="0" borderId="13" xfId="3" applyFont="1" applyBorder="1" applyAlignment="1">
      <alignment vertical="center" wrapText="1"/>
    </xf>
    <xf numFmtId="0" fontId="19" fillId="0" borderId="11" xfId="3" applyFont="1" applyBorder="1" applyAlignment="1">
      <alignment vertical="center" wrapText="1"/>
    </xf>
    <xf numFmtId="0" fontId="17" fillId="0" borderId="52" xfId="3" applyFont="1" applyBorder="1" applyAlignment="1">
      <alignment vertical="center" wrapText="1"/>
    </xf>
    <xf numFmtId="43" fontId="17" fillId="9" borderId="29" xfId="1" applyFont="1" applyFill="1" applyBorder="1" applyAlignment="1">
      <alignment horizontal="right" vertical="center" wrapText="1"/>
    </xf>
    <xf numFmtId="43" fontId="17" fillId="9" borderId="30" xfId="1" applyFont="1" applyFill="1" applyBorder="1" applyAlignment="1">
      <alignment horizontal="right" vertical="center" wrapText="1"/>
    </xf>
    <xf numFmtId="43" fontId="17" fillId="9" borderId="32" xfId="1" applyFont="1" applyFill="1" applyBorder="1" applyAlignment="1">
      <alignment horizontal="right" vertical="center" wrapText="1"/>
    </xf>
    <xf numFmtId="43" fontId="17" fillId="9" borderId="34" xfId="1" applyFont="1" applyFill="1" applyBorder="1" applyAlignment="1">
      <alignment horizontal="right" vertical="center" wrapText="1"/>
    </xf>
    <xf numFmtId="43" fontId="17" fillId="9" borderId="35" xfId="1" applyFont="1" applyFill="1" applyBorder="1" applyAlignment="1">
      <alignment horizontal="right" vertical="center" wrapText="1"/>
    </xf>
    <xf numFmtId="0" fontId="19" fillId="0" borderId="52" xfId="3" applyFont="1" applyBorder="1" applyAlignment="1">
      <alignment vertical="center" wrapText="1"/>
    </xf>
    <xf numFmtId="0" fontId="34" fillId="0" borderId="31" xfId="3" applyFont="1" applyBorder="1" applyAlignment="1">
      <alignment vertical="center" wrapText="1"/>
    </xf>
    <xf numFmtId="0" fontId="19" fillId="0" borderId="37" xfId="3" applyFont="1" applyBorder="1" applyAlignment="1">
      <alignment vertical="center" wrapText="1"/>
    </xf>
    <xf numFmtId="1" fontId="39" fillId="0" borderId="0" xfId="0" applyNumberFormat="1" applyFont="1" applyBorder="1"/>
    <xf numFmtId="3" fontId="15" fillId="0" borderId="37" xfId="0" applyNumberFormat="1" applyFont="1" applyFill="1" applyBorder="1"/>
    <xf numFmtId="3" fontId="21" fillId="0" borderId="37" xfId="0" applyNumberFormat="1" applyFont="1" applyFill="1" applyBorder="1"/>
    <xf numFmtId="3" fontId="21" fillId="0" borderId="38" xfId="0" applyNumberFormat="1" applyFont="1" applyFill="1" applyBorder="1"/>
    <xf numFmtId="0" fontId="15" fillId="0" borderId="37" xfId="0" applyFont="1" applyFill="1" applyBorder="1" applyAlignment="1">
      <alignment horizontal="right"/>
    </xf>
    <xf numFmtId="0" fontId="21" fillId="0" borderId="37" xfId="0" applyFont="1" applyFill="1" applyBorder="1" applyAlignment="1">
      <alignment horizontal="right"/>
    </xf>
    <xf numFmtId="0" fontId="21" fillId="0" borderId="38" xfId="0" applyFont="1" applyFill="1" applyBorder="1" applyAlignment="1">
      <alignment horizontal="right"/>
    </xf>
    <xf numFmtId="169" fontId="19" fillId="0" borderId="37" xfId="3" applyNumberFormat="1" applyFont="1" applyFill="1" applyBorder="1" applyAlignment="1">
      <alignment horizontal="right" vertical="center" wrapText="1"/>
    </xf>
    <xf numFmtId="169" fontId="17" fillId="0" borderId="37" xfId="3" applyNumberFormat="1" applyFont="1" applyFill="1" applyBorder="1" applyAlignment="1">
      <alignment horizontal="right" vertical="center" wrapText="1"/>
    </xf>
    <xf numFmtId="169" fontId="21" fillId="0" borderId="38" xfId="0" applyNumberFormat="1" applyFont="1" applyFill="1" applyBorder="1" applyAlignment="1">
      <alignment horizontal="right" vertical="center" wrapText="1"/>
    </xf>
    <xf numFmtId="169" fontId="5" fillId="0" borderId="26" xfId="3" applyNumberFormat="1" applyFont="1" applyFill="1" applyBorder="1" applyAlignment="1">
      <alignment horizontal="right" vertical="center" wrapText="1"/>
    </xf>
    <xf numFmtId="169" fontId="4" fillId="0" borderId="26" xfId="3" applyNumberFormat="1" applyFont="1" applyFill="1" applyBorder="1" applyAlignment="1">
      <alignment horizontal="right" vertical="center" wrapText="1"/>
    </xf>
    <xf numFmtId="169" fontId="11" fillId="0" borderId="27" xfId="0" applyNumberFormat="1" applyFont="1" applyFill="1" applyBorder="1" applyAlignment="1">
      <alignment horizontal="right" vertical="center" wrapText="1"/>
    </xf>
    <xf numFmtId="0" fontId="21" fillId="0" borderId="37" xfId="0" applyFont="1" applyFill="1" applyBorder="1"/>
    <xf numFmtId="0" fontId="21" fillId="0" borderId="38" xfId="0" applyFont="1" applyFill="1" applyBorder="1"/>
    <xf numFmtId="0" fontId="15" fillId="0" borderId="37" xfId="0" applyFont="1" applyFill="1" applyBorder="1"/>
    <xf numFmtId="169" fontId="19" fillId="0" borderId="48" xfId="3" applyNumberFormat="1" applyFont="1" applyFill="1" applyBorder="1" applyAlignment="1">
      <alignment horizontal="right" vertical="center" wrapText="1"/>
    </xf>
    <xf numFmtId="169" fontId="17" fillId="0" borderId="48" xfId="3" applyNumberFormat="1" applyFont="1" applyFill="1" applyBorder="1" applyAlignment="1">
      <alignment horizontal="right" vertical="center" wrapText="1"/>
    </xf>
    <xf numFmtId="169" fontId="21" fillId="0" borderId="49" xfId="0" applyNumberFormat="1" applyFont="1" applyFill="1" applyBorder="1" applyAlignment="1">
      <alignment horizontal="right" vertical="center" wrapText="1"/>
    </xf>
    <xf numFmtId="169" fontId="19" fillId="0" borderId="26" xfId="3" applyNumberFormat="1" applyFont="1" applyFill="1" applyBorder="1" applyAlignment="1">
      <alignment horizontal="right" vertical="center" wrapText="1"/>
    </xf>
    <xf numFmtId="169" fontId="17" fillId="0" borderId="26" xfId="3" applyNumberFormat="1" applyFont="1" applyFill="1" applyBorder="1" applyAlignment="1">
      <alignment horizontal="right" vertical="center" wrapText="1"/>
    </xf>
    <xf numFmtId="169" fontId="21" fillId="0" borderId="27" xfId="0" applyNumberFormat="1" applyFont="1" applyFill="1" applyBorder="1" applyAlignment="1">
      <alignment horizontal="right" vertical="center" wrapText="1"/>
    </xf>
    <xf numFmtId="166" fontId="19" fillId="0" borderId="36" xfId="3" applyNumberFormat="1" applyFont="1" applyFill="1" applyBorder="1" applyAlignment="1">
      <alignment horizontal="right" vertical="center" wrapText="1"/>
    </xf>
    <xf numFmtId="10" fontId="17" fillId="0" borderId="37" xfId="3" applyNumberFormat="1" applyFont="1" applyFill="1" applyBorder="1" applyAlignment="1">
      <alignment horizontal="right" vertical="center" wrapText="1"/>
    </xf>
    <xf numFmtId="10" fontId="17" fillId="0" borderId="38" xfId="3" applyNumberFormat="1" applyFont="1" applyFill="1" applyBorder="1" applyAlignment="1">
      <alignment horizontal="right" vertical="center" wrapText="1"/>
    </xf>
    <xf numFmtId="0" fontId="15" fillId="0" borderId="37" xfId="0" applyFont="1" applyFill="1" applyBorder="1" applyAlignment="1">
      <alignment horizontal="right" vertical="center"/>
    </xf>
    <xf numFmtId="166" fontId="21" fillId="0" borderId="37" xfId="0" applyNumberFormat="1" applyFont="1" applyFill="1" applyBorder="1"/>
    <xf numFmtId="166" fontId="21" fillId="0" borderId="38" xfId="0" applyNumberFormat="1" applyFont="1" applyFill="1" applyBorder="1"/>
    <xf numFmtId="166" fontId="17" fillId="0" borderId="37" xfId="3" applyNumberFormat="1" applyFont="1" applyFill="1" applyBorder="1" applyAlignment="1">
      <alignment vertical="center" wrapText="1"/>
    </xf>
    <xf numFmtId="166" fontId="17" fillId="0" borderId="38" xfId="3" applyNumberFormat="1" applyFont="1" applyFill="1" applyBorder="1" applyAlignment="1">
      <alignment vertical="center" wrapText="1"/>
    </xf>
    <xf numFmtId="166" fontId="17" fillId="0" borderId="37" xfId="3" applyNumberFormat="1" applyFont="1" applyFill="1" applyBorder="1" applyAlignment="1">
      <alignment horizontal="right" vertical="center" wrapText="1"/>
    </xf>
    <xf numFmtId="166" fontId="21" fillId="0" borderId="38" xfId="0" applyNumberFormat="1" applyFont="1" applyFill="1" applyBorder="1" applyAlignment="1">
      <alignment horizontal="right" vertical="center" wrapText="1"/>
    </xf>
    <xf numFmtId="167" fontId="17" fillId="0" borderId="37" xfId="3" applyNumberFormat="1" applyFont="1" applyFill="1" applyBorder="1" applyAlignment="1">
      <alignment vertical="center" wrapText="1"/>
    </xf>
    <xf numFmtId="167" fontId="17" fillId="0" borderId="37" xfId="3" applyNumberFormat="1" applyFont="1" applyFill="1" applyBorder="1" applyAlignment="1">
      <alignment horizontal="right" vertical="center" wrapText="1"/>
    </xf>
    <xf numFmtId="167" fontId="15" fillId="0" borderId="38" xfId="0" applyNumberFormat="1" applyFont="1" applyFill="1" applyBorder="1" applyAlignment="1">
      <alignment horizontal="right" vertical="center" wrapText="1"/>
    </xf>
    <xf numFmtId="165" fontId="21" fillId="0" borderId="38" xfId="1" applyNumberFormat="1" applyFont="1" applyFill="1" applyBorder="1" applyAlignment="1">
      <alignment horizontal="right" vertical="center" wrapText="1"/>
    </xf>
    <xf numFmtId="4" fontId="16" fillId="0" borderId="53" xfId="3" applyNumberFormat="1" applyFont="1" applyFill="1" applyBorder="1" applyAlignment="1">
      <alignment vertical="center" wrapText="1"/>
    </xf>
    <xf numFmtId="4" fontId="16" fillId="0" borderId="54" xfId="3" applyNumberFormat="1" applyFont="1" applyFill="1" applyBorder="1" applyAlignment="1">
      <alignment vertical="center" wrapText="1"/>
    </xf>
    <xf numFmtId="4" fontId="16" fillId="0" borderId="47" xfId="3" applyNumberFormat="1" applyFont="1" applyFill="1" applyBorder="1" applyAlignment="1">
      <alignment vertical="center" wrapText="1"/>
    </xf>
    <xf numFmtId="4" fontId="41" fillId="0" borderId="37" xfId="3" applyNumberFormat="1" applyFont="1" applyFill="1" applyBorder="1" applyAlignment="1">
      <alignment horizontal="right" vertical="center" wrapText="1"/>
    </xf>
    <xf numFmtId="4" fontId="41" fillId="0" borderId="55" xfId="3" applyNumberFormat="1" applyFont="1" applyFill="1" applyBorder="1" applyAlignment="1">
      <alignment vertical="center" wrapText="1"/>
    </xf>
    <xf numFmtId="4" fontId="41" fillId="0" borderId="56" xfId="3" applyNumberFormat="1" applyFont="1" applyFill="1" applyBorder="1" applyAlignment="1">
      <alignment vertical="center" wrapText="1"/>
    </xf>
    <xf numFmtId="4" fontId="41" fillId="0" borderId="48" xfId="3" applyNumberFormat="1" applyFont="1" applyFill="1" applyBorder="1" applyAlignment="1">
      <alignment vertical="center" wrapText="1"/>
    </xf>
    <xf numFmtId="4" fontId="41" fillId="0" borderId="38" xfId="3" applyNumberFormat="1" applyFont="1" applyFill="1" applyBorder="1" applyAlignment="1">
      <alignment horizontal="right" vertical="center" wrapText="1"/>
    </xf>
    <xf numFmtId="4" fontId="16" fillId="0" borderId="37" xfId="3" applyNumberFormat="1" applyFont="1" applyFill="1" applyBorder="1" applyAlignment="1">
      <alignment horizontal="right" vertical="center" wrapText="1"/>
    </xf>
    <xf numFmtId="4" fontId="16" fillId="0" borderId="36" xfId="3" applyNumberFormat="1" applyFont="1" applyFill="1" applyBorder="1" applyAlignment="1">
      <alignment horizontal="right" vertical="center" wrapText="1"/>
    </xf>
    <xf numFmtId="0" fontId="41" fillId="0" borderId="38" xfId="3" applyFont="1" applyFill="1" applyBorder="1" applyAlignment="1">
      <alignment horizontal="right" vertical="center" wrapText="1"/>
    </xf>
    <xf numFmtId="3" fontId="17" fillId="0" borderId="5" xfId="3" applyNumberFormat="1" applyFont="1" applyFill="1" applyBorder="1" applyAlignment="1">
      <alignment horizontal="right" vertical="center" wrapText="1"/>
    </xf>
    <xf numFmtId="3" fontId="19" fillId="0" borderId="34" xfId="3" applyNumberFormat="1" applyFont="1" applyBorder="1" applyAlignment="1">
      <alignment horizontal="right" vertical="center" wrapText="1"/>
    </xf>
    <xf numFmtId="10" fontId="19" fillId="0" borderId="29" xfId="3" applyNumberFormat="1" applyFont="1" applyFill="1" applyBorder="1" applyAlignment="1">
      <alignment horizontal="center" vertical="center" wrapText="1"/>
    </xf>
    <xf numFmtId="10" fontId="19" fillId="0" borderId="30" xfId="3" applyNumberFormat="1" applyFont="1" applyFill="1" applyBorder="1" applyAlignment="1">
      <alignment horizontal="center" vertical="center" wrapText="1"/>
    </xf>
    <xf numFmtId="10" fontId="17" fillId="0" borderId="5" xfId="3" applyNumberFormat="1" applyFont="1" applyFill="1" applyBorder="1" applyAlignment="1">
      <alignment horizontal="center" vertical="center" wrapText="1"/>
    </xf>
    <xf numFmtId="10" fontId="17" fillId="0" borderId="32" xfId="3" applyNumberFormat="1" applyFont="1" applyFill="1" applyBorder="1" applyAlignment="1">
      <alignment horizontal="center" vertical="center" wrapText="1"/>
    </xf>
    <xf numFmtId="10" fontId="17" fillId="0" borderId="34" xfId="3" applyNumberFormat="1" applyFont="1" applyFill="1" applyBorder="1" applyAlignment="1">
      <alignment horizontal="center" vertical="center" wrapText="1"/>
    </xf>
    <xf numFmtId="10" fontId="17" fillId="0" borderId="35" xfId="3" applyNumberFormat="1" applyFont="1" applyFill="1" applyBorder="1" applyAlignment="1">
      <alignment horizontal="center" vertical="center" wrapText="1"/>
    </xf>
    <xf numFmtId="9" fontId="17" fillId="0" borderId="5" xfId="8" applyFont="1" applyFill="1" applyBorder="1" applyAlignment="1">
      <alignment vertical="center" wrapText="1"/>
    </xf>
    <xf numFmtId="9" fontId="17" fillId="0" borderId="6" xfId="8" applyFont="1" applyFill="1" applyBorder="1" applyAlignment="1">
      <alignment vertical="center" wrapText="1"/>
    </xf>
    <xf numFmtId="165" fontId="21" fillId="0" borderId="5" xfId="1" applyNumberFormat="1" applyFont="1" applyBorder="1"/>
    <xf numFmtId="165" fontId="15" fillId="0" borderId="6" xfId="1" applyNumberFormat="1" applyFont="1" applyBorder="1"/>
    <xf numFmtId="10" fontId="16" fillId="0" borderId="28" xfId="3" applyNumberFormat="1" applyFont="1" applyFill="1" applyBorder="1" applyAlignment="1">
      <alignment horizontal="right" vertical="center" wrapText="1"/>
    </xf>
    <xf numFmtId="168" fontId="41" fillId="0" borderId="19" xfId="3" applyNumberFormat="1" applyFont="1" applyFill="1" applyBorder="1" applyAlignment="1">
      <alignment horizontal="right" vertical="center" wrapText="1"/>
    </xf>
    <xf numFmtId="168" fontId="16" fillId="0" borderId="19" xfId="3" applyNumberFormat="1" applyFont="1" applyFill="1" applyBorder="1" applyAlignment="1">
      <alignment horizontal="right" vertical="center" wrapText="1"/>
    </xf>
    <xf numFmtId="172" fontId="39" fillId="0" borderId="38" xfId="0" applyNumberFormat="1" applyFont="1" applyBorder="1" applyAlignment="1">
      <alignment horizontal="right"/>
    </xf>
    <xf numFmtId="0" fontId="50" fillId="0" borderId="0" xfId="3" applyFont="1" applyBorder="1"/>
    <xf numFmtId="1" fontId="51" fillId="0" borderId="6" xfId="0" applyNumberFormat="1" applyFont="1" applyBorder="1"/>
    <xf numFmtId="172" fontId="23" fillId="9" borderId="5" xfId="0" applyNumberFormat="1" applyFont="1" applyFill="1" applyBorder="1" applyAlignment="1">
      <alignment vertical="center"/>
    </xf>
    <xf numFmtId="0" fontId="52" fillId="0" borderId="0" xfId="0" applyFont="1"/>
    <xf numFmtId="0" fontId="5" fillId="2" borderId="37" xfId="3" applyFont="1" applyFill="1" applyBorder="1" applyAlignment="1">
      <alignment vertical="center"/>
    </xf>
    <xf numFmtId="3" fontId="5" fillId="2" borderId="37" xfId="3" applyNumberFormat="1" applyFont="1" applyFill="1" applyBorder="1" applyAlignment="1">
      <alignment vertical="center"/>
    </xf>
    <xf numFmtId="0" fontId="4" fillId="2" borderId="37" xfId="3" applyFont="1" applyFill="1" applyBorder="1" applyAlignment="1">
      <alignment vertical="center"/>
    </xf>
    <xf numFmtId="3" fontId="4" fillId="2" borderId="37" xfId="3" applyNumberFormat="1" applyFont="1" applyFill="1" applyBorder="1" applyAlignment="1">
      <alignment vertical="center"/>
    </xf>
    <xf numFmtId="165" fontId="53" fillId="2" borderId="37" xfId="1" applyNumberFormat="1" applyFont="1" applyFill="1" applyBorder="1"/>
    <xf numFmtId="0" fontId="2" fillId="2" borderId="37" xfId="3" applyFill="1" applyBorder="1"/>
    <xf numFmtId="0" fontId="4" fillId="2" borderId="38" xfId="3" applyFont="1" applyFill="1" applyBorder="1" applyAlignment="1">
      <alignment vertical="center"/>
    </xf>
    <xf numFmtId="3" fontId="5" fillId="2" borderId="38" xfId="3" applyNumberFormat="1" applyFont="1" applyFill="1" applyBorder="1" applyAlignment="1">
      <alignment vertical="center"/>
    </xf>
    <xf numFmtId="3" fontId="17" fillId="8" borderId="5" xfId="3" applyNumberFormat="1" applyFont="1" applyFill="1" applyBorder="1" applyAlignment="1">
      <alignment horizontal="right" vertical="center" wrapText="1"/>
    </xf>
    <xf numFmtId="3" fontId="17" fillId="8" borderId="6" xfId="3" applyNumberFormat="1" applyFont="1" applyFill="1" applyBorder="1" applyAlignment="1">
      <alignment horizontal="right" vertical="center" wrapText="1"/>
    </xf>
    <xf numFmtId="3" fontId="19" fillId="8" borderId="5" xfId="3" applyNumberFormat="1" applyFont="1" applyFill="1" applyBorder="1" applyAlignment="1">
      <alignment horizontal="right" vertical="center" wrapText="1"/>
    </xf>
    <xf numFmtId="0" fontId="54" fillId="0" borderId="0" xfId="3" applyFont="1"/>
    <xf numFmtId="0" fontId="56" fillId="0" borderId="0" xfId="3" applyFont="1" applyAlignment="1">
      <alignment vertical="center"/>
    </xf>
    <xf numFmtId="4" fontId="17" fillId="8" borderId="5" xfId="3" applyNumberFormat="1" applyFont="1" applyFill="1" applyBorder="1" applyAlignment="1">
      <alignment horizontal="right" vertical="center" wrapText="1"/>
    </xf>
    <xf numFmtId="4" fontId="55" fillId="8" borderId="5" xfId="3" applyNumberFormat="1" applyFont="1" applyFill="1" applyBorder="1" applyAlignment="1">
      <alignment horizontal="right" vertical="center" wrapText="1"/>
    </xf>
    <xf numFmtId="2" fontId="17" fillId="8" borderId="6" xfId="3" applyNumberFormat="1" applyFont="1" applyFill="1" applyBorder="1" applyAlignment="1">
      <alignment horizontal="right" vertical="center" wrapText="1"/>
    </xf>
    <xf numFmtId="43" fontId="17" fillId="8" borderId="6" xfId="1" applyFont="1" applyFill="1" applyBorder="1" applyAlignment="1">
      <alignment horizontal="right" vertical="center" wrapText="1"/>
    </xf>
    <xf numFmtId="4" fontId="19" fillId="8" borderId="4" xfId="3" applyNumberFormat="1" applyFont="1" applyFill="1" applyBorder="1" applyAlignment="1">
      <alignment vertical="center" wrapText="1"/>
    </xf>
    <xf numFmtId="9" fontId="17" fillId="8" borderId="16" xfId="3" applyNumberFormat="1" applyFont="1" applyFill="1" applyBorder="1" applyAlignment="1">
      <alignment vertical="center" wrapText="1"/>
    </xf>
    <xf numFmtId="9" fontId="17" fillId="8" borderId="15" xfId="8" applyFont="1" applyFill="1" applyBorder="1" applyAlignment="1">
      <alignment vertical="center" wrapText="1"/>
    </xf>
    <xf numFmtId="3" fontId="0" fillId="8" borderId="5" xfId="0" applyNumberFormat="1" applyFill="1" applyBorder="1"/>
    <xf numFmtId="165" fontId="41" fillId="8" borderId="29" xfId="1" applyNumberFormat="1" applyFont="1" applyFill="1" applyBorder="1" applyAlignment="1">
      <alignment horizontal="right" vertical="center" wrapText="1"/>
    </xf>
    <xf numFmtId="3" fontId="41" fillId="8" borderId="29" xfId="3" applyNumberFormat="1" applyFont="1" applyFill="1" applyBorder="1" applyAlignment="1">
      <alignment vertical="center" wrapText="1"/>
    </xf>
    <xf numFmtId="165" fontId="41" fillId="8" borderId="30" xfId="1" applyNumberFormat="1" applyFont="1" applyFill="1" applyBorder="1" applyAlignment="1">
      <alignment horizontal="right" vertical="center" wrapText="1"/>
    </xf>
    <xf numFmtId="165" fontId="41" fillId="8" borderId="5" xfId="1" applyNumberFormat="1" applyFont="1" applyFill="1" applyBorder="1" applyAlignment="1">
      <alignment horizontal="right" vertical="center" wrapText="1"/>
    </xf>
    <xf numFmtId="3" fontId="41" fillId="8" borderId="5" xfId="3" applyNumberFormat="1" applyFont="1" applyFill="1" applyBorder="1" applyAlignment="1">
      <alignment vertical="center" wrapText="1"/>
    </xf>
    <xf numFmtId="165" fontId="41" fillId="8" borderId="32" xfId="1" applyNumberFormat="1" applyFont="1" applyFill="1" applyBorder="1" applyAlignment="1">
      <alignment horizontal="right" vertical="center" wrapText="1"/>
    </xf>
    <xf numFmtId="3" fontId="19" fillId="8" borderId="34" xfId="3" applyNumberFormat="1" applyFont="1" applyFill="1" applyBorder="1" applyAlignment="1">
      <alignment vertical="center" wrapText="1"/>
    </xf>
    <xf numFmtId="172" fontId="23" fillId="8" borderId="5" xfId="0" applyNumberFormat="1" applyFont="1" applyFill="1" applyBorder="1" applyAlignment="1">
      <alignment vertical="center"/>
    </xf>
    <xf numFmtId="172" fontId="17" fillId="8" borderId="5" xfId="3" applyNumberFormat="1" applyFont="1" applyFill="1" applyBorder="1" applyAlignment="1">
      <alignment horizontal="right" vertical="center" wrapText="1"/>
    </xf>
    <xf numFmtId="3" fontId="41" fillId="0" borderId="37" xfId="0" applyNumberFormat="1" applyFont="1" applyFill="1" applyBorder="1" applyAlignment="1">
      <alignment horizontal="right"/>
    </xf>
    <xf numFmtId="3" fontId="15" fillId="0" borderId="37" xfId="0" applyNumberFormat="1" applyFont="1" applyFill="1" applyBorder="1" applyAlignment="1">
      <alignment horizontal="right"/>
    </xf>
    <xf numFmtId="3" fontId="21" fillId="0" borderId="37" xfId="0" applyNumberFormat="1" applyFont="1" applyFill="1" applyBorder="1" applyAlignment="1">
      <alignment horizontal="right"/>
    </xf>
    <xf numFmtId="3" fontId="21" fillId="0" borderId="38" xfId="0" applyNumberFormat="1" applyFont="1" applyFill="1" applyBorder="1" applyAlignment="1">
      <alignment horizontal="right"/>
    </xf>
    <xf numFmtId="0" fontId="3" fillId="7" borderId="25" xfId="2" applyFill="1" applyBorder="1" applyAlignment="1">
      <alignment horizontal="right" vertical="center" wrapText="1"/>
    </xf>
    <xf numFmtId="3" fontId="17" fillId="0" borderId="37" xfId="3" applyNumberFormat="1" applyFont="1" applyFill="1" applyBorder="1" applyAlignment="1">
      <alignment horizontal="right" vertical="center" wrapText="1"/>
    </xf>
    <xf numFmtId="3" fontId="17" fillId="0" borderId="37" xfId="3" applyNumberFormat="1" applyFont="1" applyFill="1" applyBorder="1" applyAlignment="1">
      <alignment vertical="center" wrapText="1"/>
    </xf>
    <xf numFmtId="1" fontId="17" fillId="0" borderId="37" xfId="3" applyNumberFormat="1" applyFont="1" applyFill="1" applyBorder="1" applyAlignment="1">
      <alignment horizontal="right" vertical="center" wrapText="1"/>
    </xf>
    <xf numFmtId="2" fontId="17" fillId="0" borderId="37" xfId="3" applyNumberFormat="1" applyFont="1" applyFill="1" applyBorder="1" applyAlignment="1">
      <alignment horizontal="right" vertical="center" wrapText="1"/>
    </xf>
    <xf numFmtId="1" fontId="21" fillId="0" borderId="38" xfId="0" applyNumberFormat="1" applyFont="1" applyFill="1" applyBorder="1" applyAlignment="1">
      <alignment horizontal="right" vertical="center" wrapText="1"/>
    </xf>
    <xf numFmtId="2" fontId="21" fillId="0" borderId="38" xfId="0" applyNumberFormat="1" applyFont="1" applyFill="1" applyBorder="1" applyAlignment="1">
      <alignment horizontal="right" vertical="center" wrapText="1"/>
    </xf>
    <xf numFmtId="1" fontId="17" fillId="0" borderId="38" xfId="3" applyNumberFormat="1" applyFont="1" applyFill="1" applyBorder="1" applyAlignment="1">
      <alignment horizontal="right" vertical="center" wrapText="1"/>
    </xf>
    <xf numFmtId="9" fontId="17" fillId="0" borderId="37" xfId="3" applyNumberFormat="1" applyFont="1" applyFill="1" applyBorder="1" applyAlignment="1">
      <alignment horizontal="right" vertical="center" wrapText="1"/>
    </xf>
    <xf numFmtId="9" fontId="21" fillId="0" borderId="38" xfId="0" applyNumberFormat="1" applyFont="1" applyFill="1" applyBorder="1" applyAlignment="1">
      <alignment horizontal="right" vertical="center" wrapText="1"/>
    </xf>
    <xf numFmtId="167" fontId="21" fillId="0" borderId="38" xfId="0" applyNumberFormat="1" applyFont="1" applyFill="1" applyBorder="1" applyAlignment="1">
      <alignment horizontal="right" vertical="center" wrapText="1"/>
    </xf>
    <xf numFmtId="4" fontId="19" fillId="0" borderId="36" xfId="3" applyNumberFormat="1" applyFont="1" applyFill="1" applyBorder="1" applyAlignment="1">
      <alignment vertical="center" wrapText="1"/>
    </xf>
    <xf numFmtId="0" fontId="17" fillId="0" borderId="36" xfId="3" applyFont="1" applyBorder="1" applyAlignment="1">
      <alignment vertical="center" wrapText="1"/>
    </xf>
    <xf numFmtId="0" fontId="19" fillId="0" borderId="36" xfId="3" applyFont="1" applyBorder="1" applyAlignment="1">
      <alignment vertical="center" wrapText="1"/>
    </xf>
    <xf numFmtId="9" fontId="19" fillId="0" borderId="29" xfId="3" applyNumberFormat="1" applyFont="1" applyBorder="1" applyAlignment="1">
      <alignment horizontal="center" vertical="center" wrapText="1"/>
    </xf>
    <xf numFmtId="9" fontId="19" fillId="0" borderId="30" xfId="3" applyNumberFormat="1" applyFont="1" applyBorder="1" applyAlignment="1">
      <alignment horizontal="center" vertical="center" wrapText="1"/>
    </xf>
    <xf numFmtId="9" fontId="17" fillId="0" borderId="32" xfId="3" applyNumberFormat="1" applyFont="1" applyBorder="1" applyAlignment="1">
      <alignment horizontal="center" vertical="center" wrapText="1"/>
    </xf>
    <xf numFmtId="9" fontId="17" fillId="0" borderId="33" xfId="3" applyNumberFormat="1" applyFont="1" applyBorder="1" applyAlignment="1">
      <alignment horizontal="left" vertical="center" wrapText="1"/>
    </xf>
    <xf numFmtId="9" fontId="17" fillId="0" borderId="34" xfId="3" applyNumberFormat="1" applyFont="1" applyBorder="1" applyAlignment="1">
      <alignment horizontal="center" vertical="center" wrapText="1"/>
    </xf>
    <xf numFmtId="9" fontId="17" fillId="0" borderId="35" xfId="3" applyNumberFormat="1" applyFont="1" applyBorder="1" applyAlignment="1">
      <alignment horizontal="center" vertical="center" wrapText="1"/>
    </xf>
    <xf numFmtId="3" fontId="19" fillId="0" borderId="29" xfId="3" applyNumberFormat="1" applyFont="1" applyBorder="1" applyAlignment="1">
      <alignment horizontal="right" vertical="center" wrapText="1"/>
    </xf>
    <xf numFmtId="3" fontId="19" fillId="0" borderId="30" xfId="3" applyNumberFormat="1" applyFont="1" applyBorder="1" applyAlignment="1">
      <alignment horizontal="right" vertical="center" wrapText="1"/>
    </xf>
    <xf numFmtId="3" fontId="17" fillId="0" borderId="32" xfId="3" applyNumberFormat="1" applyFont="1" applyBorder="1" applyAlignment="1">
      <alignment horizontal="right" vertical="center" wrapText="1"/>
    </xf>
    <xf numFmtId="0" fontId="17" fillId="0" borderId="34" xfId="3" applyFont="1" applyBorder="1" applyAlignment="1">
      <alignment vertical="center" wrapText="1"/>
    </xf>
    <xf numFmtId="3" fontId="17" fillId="0" borderId="34" xfId="3" applyNumberFormat="1" applyFont="1" applyBorder="1" applyAlignment="1">
      <alignment horizontal="right" vertical="center" wrapText="1"/>
    </xf>
    <xf numFmtId="3" fontId="17" fillId="0" borderId="35" xfId="3" applyNumberFormat="1" applyFont="1" applyBorder="1" applyAlignment="1">
      <alignment horizontal="right" vertical="center" wrapText="1"/>
    </xf>
    <xf numFmtId="3" fontId="17" fillId="0" borderId="11" xfId="3" applyNumberFormat="1" applyFont="1" applyFill="1" applyBorder="1" applyAlignment="1">
      <alignment horizontal="right" vertical="center" wrapText="1"/>
    </xf>
    <xf numFmtId="3" fontId="19" fillId="0" borderId="12" xfId="3" applyNumberFormat="1" applyFont="1" applyFill="1" applyBorder="1" applyAlignment="1">
      <alignment vertical="center" wrapText="1"/>
    </xf>
    <xf numFmtId="165" fontId="21" fillId="0" borderId="5" xfId="1" applyNumberFormat="1" applyFont="1" applyFill="1" applyBorder="1"/>
    <xf numFmtId="165" fontId="15" fillId="0" borderId="6" xfId="1" applyNumberFormat="1" applyFont="1" applyFill="1" applyBorder="1"/>
    <xf numFmtId="0" fontId="0" fillId="0" borderId="5" xfId="0" applyFill="1" applyBorder="1"/>
    <xf numFmtId="1" fontId="39" fillId="0" borderId="6" xfId="0" applyNumberFormat="1" applyFont="1" applyFill="1" applyBorder="1"/>
    <xf numFmtId="4" fontId="19" fillId="0" borderId="6" xfId="3" applyNumberFormat="1" applyFont="1" applyFill="1" applyBorder="1" applyAlignment="1">
      <alignment vertical="center" wrapText="1"/>
    </xf>
    <xf numFmtId="4" fontId="17" fillId="0" borderId="11" xfId="3" applyNumberFormat="1" applyFont="1" applyFill="1" applyBorder="1" applyAlignment="1">
      <alignment horizontal="right" vertical="center" wrapText="1"/>
    </xf>
    <xf numFmtId="4" fontId="19" fillId="0" borderId="12" xfId="3" applyNumberFormat="1" applyFont="1" applyFill="1" applyBorder="1" applyAlignment="1">
      <alignment horizontal="right" vertical="center" wrapText="1"/>
    </xf>
    <xf numFmtId="170" fontId="17" fillId="0" borderId="5" xfId="3" applyNumberFormat="1" applyFont="1" applyFill="1" applyBorder="1" applyAlignment="1">
      <alignment horizontal="right" vertical="center" wrapText="1"/>
    </xf>
    <xf numFmtId="170" fontId="19" fillId="0" borderId="12" xfId="3" applyNumberFormat="1" applyFont="1" applyFill="1" applyBorder="1" applyAlignment="1">
      <alignment horizontal="right" vertical="center" wrapText="1"/>
    </xf>
    <xf numFmtId="0" fontId="17" fillId="0" borderId="11" xfId="3" applyFont="1" applyBorder="1" applyAlignment="1">
      <alignment vertical="center" wrapText="1"/>
    </xf>
    <xf numFmtId="4" fontId="19" fillId="0" borderId="12" xfId="3" applyNumberFormat="1" applyFont="1" applyBorder="1" applyAlignment="1">
      <alignment vertical="center" wrapText="1"/>
    </xf>
    <xf numFmtId="4" fontId="17" fillId="0" borderId="37" xfId="3" applyNumberFormat="1" applyFont="1" applyBorder="1" applyAlignment="1">
      <alignment vertical="center" wrapText="1"/>
    </xf>
    <xf numFmtId="4" fontId="17" fillId="0" borderId="37" xfId="3" applyNumberFormat="1" applyFont="1" applyBorder="1" applyAlignment="1">
      <alignment horizontal="right" vertical="center" wrapText="1"/>
    </xf>
    <xf numFmtId="0" fontId="26" fillId="0" borderId="38" xfId="3" applyFont="1" applyBorder="1"/>
    <xf numFmtId="2" fontId="17" fillId="0" borderId="37" xfId="3" applyNumberFormat="1" applyFont="1" applyFill="1" applyBorder="1" applyAlignment="1">
      <alignment vertical="center" wrapText="1"/>
    </xf>
    <xf numFmtId="43" fontId="17" fillId="0" borderId="5" xfId="1" applyFont="1" applyFill="1" applyBorder="1" applyAlignment="1">
      <alignment horizontal="right" vertical="center" wrapText="1"/>
    </xf>
    <xf numFmtId="43" fontId="17" fillId="0" borderId="6" xfId="1" applyFont="1" applyFill="1" applyBorder="1" applyAlignment="1">
      <alignment horizontal="right" vertical="center" wrapText="1"/>
    </xf>
    <xf numFmtId="3" fontId="0" fillId="0" borderId="5" xfId="0" applyNumberFormat="1" applyFill="1" applyBorder="1"/>
    <xf numFmtId="2" fontId="17" fillId="0" borderId="26" xfId="3" applyNumberFormat="1" applyFont="1" applyFill="1" applyBorder="1" applyAlignment="1">
      <alignment vertical="center" wrapText="1"/>
    </xf>
    <xf numFmtId="2" fontId="19" fillId="0" borderId="27" xfId="3" applyNumberFormat="1" applyFont="1" applyBorder="1" applyAlignment="1">
      <alignment vertical="center" wrapText="1"/>
    </xf>
    <xf numFmtId="0" fontId="39" fillId="0" borderId="27" xfId="0" applyFont="1" applyFill="1" applyBorder="1" applyAlignment="1">
      <alignment horizontal="right"/>
    </xf>
    <xf numFmtId="43" fontId="17" fillId="0" borderId="0" xfId="1" applyFont="1" applyFill="1" applyBorder="1" applyAlignment="1">
      <alignment horizontal="right" vertical="center" wrapText="1"/>
    </xf>
    <xf numFmtId="2" fontId="17" fillId="8" borderId="5" xfId="3" applyNumberFormat="1" applyFont="1" applyFill="1" applyBorder="1" applyAlignment="1">
      <alignment horizontal="right" vertical="center" wrapText="1"/>
    </xf>
    <xf numFmtId="43" fontId="17" fillId="8" borderId="5" xfId="1" applyFont="1" applyFill="1" applyBorder="1" applyAlignment="1">
      <alignment horizontal="right" vertical="center" wrapText="1"/>
    </xf>
    <xf numFmtId="2" fontId="19" fillId="8" borderId="5" xfId="3" applyNumberFormat="1" applyFont="1" applyFill="1" applyBorder="1" applyAlignment="1">
      <alignment horizontal="right" vertical="center" wrapText="1"/>
    </xf>
    <xf numFmtId="43" fontId="19" fillId="8" borderId="5" xfId="1" applyFont="1" applyFill="1" applyBorder="1" applyAlignment="1">
      <alignment horizontal="right" vertical="center" wrapText="1"/>
    </xf>
    <xf numFmtId="0" fontId="17" fillId="0" borderId="5" xfId="3" applyFont="1" applyFill="1" applyBorder="1" applyAlignment="1">
      <alignment vertical="center" wrapText="1"/>
    </xf>
    <xf numFmtId="3" fontId="17" fillId="8" borderId="32" xfId="3" applyNumberFormat="1" applyFont="1" applyFill="1" applyBorder="1" applyAlignment="1">
      <alignment horizontal="right" vertical="center" wrapText="1"/>
    </xf>
    <xf numFmtId="0" fontId="17" fillId="0" borderId="33" xfId="3" applyFont="1" applyFill="1" applyBorder="1" applyAlignment="1">
      <alignment vertical="center" wrapText="1"/>
    </xf>
    <xf numFmtId="3" fontId="17" fillId="8" borderId="35" xfId="3" applyNumberFormat="1" applyFont="1" applyFill="1" applyBorder="1" applyAlignment="1">
      <alignment horizontal="right" vertical="center" wrapText="1"/>
    </xf>
    <xf numFmtId="0" fontId="19" fillId="0" borderId="30" xfId="3" applyFont="1" applyBorder="1" applyAlignment="1">
      <alignment vertical="center" wrapText="1"/>
    </xf>
    <xf numFmtId="0" fontId="17" fillId="0" borderId="32" xfId="3" applyFont="1" applyBorder="1" applyAlignment="1">
      <alignment vertical="center" wrapText="1"/>
    </xf>
    <xf numFmtId="0" fontId="17" fillId="0" borderId="35" xfId="3" applyFont="1" applyFill="1" applyBorder="1" applyAlignment="1">
      <alignment vertical="center" wrapText="1"/>
    </xf>
    <xf numFmtId="3" fontId="19" fillId="8" borderId="30" xfId="3" applyNumberFormat="1" applyFont="1" applyFill="1" applyBorder="1" applyAlignment="1">
      <alignment horizontal="right" vertical="center" wrapText="1"/>
    </xf>
    <xf numFmtId="3" fontId="19" fillId="0" borderId="11" xfId="3" applyNumberFormat="1" applyFont="1" applyBorder="1" applyAlignment="1">
      <alignment vertical="center" wrapText="1"/>
    </xf>
    <xf numFmtId="0" fontId="39" fillId="0" borderId="24" xfId="0" applyFont="1" applyFill="1" applyBorder="1"/>
    <xf numFmtId="3" fontId="17" fillId="9" borderId="36" xfId="3" applyNumberFormat="1" applyFont="1" applyFill="1" applyBorder="1" applyAlignment="1">
      <alignment horizontal="right" vertical="center" wrapText="1"/>
    </xf>
    <xf numFmtId="3" fontId="19" fillId="0" borderId="37" xfId="3" applyNumberFormat="1" applyFont="1" applyFill="1" applyBorder="1" applyAlignment="1">
      <alignment horizontal="right" vertical="center" wrapText="1"/>
    </xf>
    <xf numFmtId="4" fontId="15" fillId="0" borderId="56" xfId="0" applyNumberFormat="1" applyFont="1" applyFill="1" applyBorder="1" applyAlignment="1">
      <alignment horizontal="right" vertical="center"/>
    </xf>
    <xf numFmtId="4" fontId="15" fillId="0" borderId="37" xfId="0" applyNumberFormat="1" applyFont="1" applyFill="1" applyBorder="1" applyAlignment="1">
      <alignment horizontal="right" vertical="center"/>
    </xf>
    <xf numFmtId="4" fontId="21" fillId="0" borderId="56" xfId="0" applyNumberFormat="1" applyFont="1" applyFill="1" applyBorder="1" applyAlignment="1">
      <alignment horizontal="right" vertical="center"/>
    </xf>
    <xf numFmtId="4" fontId="21" fillId="0" borderId="37" xfId="0" applyNumberFormat="1" applyFont="1" applyFill="1" applyBorder="1" applyAlignment="1">
      <alignment horizontal="right"/>
    </xf>
    <xf numFmtId="4" fontId="21" fillId="0" borderId="59" xfId="0" applyNumberFormat="1" applyFont="1" applyFill="1" applyBorder="1" applyAlignment="1">
      <alignment horizontal="right" vertical="center"/>
    </xf>
    <xf numFmtId="4" fontId="21" fillId="0" borderId="38" xfId="0" applyNumberFormat="1" applyFont="1" applyFill="1" applyBorder="1" applyAlignment="1">
      <alignment horizontal="right"/>
    </xf>
    <xf numFmtId="2" fontId="15" fillId="0" borderId="37" xfId="0" applyNumberFormat="1" applyFont="1" applyFill="1" applyBorder="1" applyAlignment="1">
      <alignment horizontal="right" vertical="center"/>
    </xf>
    <xf numFmtId="2" fontId="21" fillId="0" borderId="37" xfId="0" applyNumberFormat="1" applyFont="1" applyFill="1" applyBorder="1" applyAlignment="1">
      <alignment horizontal="right"/>
    </xf>
    <xf numFmtId="2" fontId="21" fillId="0" borderId="38" xfId="0" applyNumberFormat="1" applyFont="1" applyFill="1" applyBorder="1" applyAlignment="1">
      <alignment horizontal="right"/>
    </xf>
    <xf numFmtId="2" fontId="15" fillId="0" borderId="48" xfId="0" applyNumberFormat="1" applyFont="1" applyFill="1" applyBorder="1" applyAlignment="1">
      <alignment horizontal="right" vertical="center"/>
    </xf>
    <xf numFmtId="2" fontId="21" fillId="0" borderId="48" xfId="0" applyNumberFormat="1" applyFont="1" applyFill="1" applyBorder="1" applyAlignment="1">
      <alignment horizontal="right"/>
    </xf>
    <xf numFmtId="2" fontId="21" fillId="0" borderId="49" xfId="0" applyNumberFormat="1" applyFont="1" applyFill="1" applyBorder="1" applyAlignment="1">
      <alignment horizontal="right"/>
    </xf>
    <xf numFmtId="0" fontId="2" fillId="0" borderId="37" xfId="3" applyFill="1" applyBorder="1"/>
    <xf numFmtId="0" fontId="2" fillId="0" borderId="38" xfId="3" applyFill="1" applyBorder="1"/>
    <xf numFmtId="0" fontId="2" fillId="0" borderId="36" xfId="3" applyFill="1" applyBorder="1"/>
    <xf numFmtId="3" fontId="17" fillId="0" borderId="57" xfId="3" applyNumberFormat="1" applyFont="1" applyFill="1" applyBorder="1" applyAlignment="1">
      <alignment horizontal="right" vertical="center" wrapText="1"/>
    </xf>
    <xf numFmtId="3" fontId="17" fillId="0" borderId="29" xfId="3" applyNumberFormat="1" applyFont="1" applyFill="1" applyBorder="1" applyAlignment="1">
      <alignment horizontal="right" vertical="center" wrapText="1"/>
    </xf>
    <xf numFmtId="3" fontId="17" fillId="0" borderId="9" xfId="3" applyNumberFormat="1" applyFont="1" applyFill="1" applyBorder="1" applyAlignment="1">
      <alignment horizontal="right" vertical="center" wrapText="1"/>
    </xf>
    <xf numFmtId="3" fontId="17" fillId="0" borderId="58" xfId="3" applyNumberFormat="1" applyFont="1" applyFill="1" applyBorder="1" applyAlignment="1">
      <alignment horizontal="right" vertical="center" wrapText="1"/>
    </xf>
    <xf numFmtId="3" fontId="17" fillId="0" borderId="34" xfId="3" applyNumberFormat="1" applyFont="1" applyFill="1" applyBorder="1" applyAlignment="1">
      <alignment horizontal="right" vertical="center" wrapText="1"/>
    </xf>
    <xf numFmtId="9" fontId="17" fillId="0" borderId="16" xfId="3" applyNumberFormat="1" applyFont="1" applyFill="1" applyBorder="1" applyAlignment="1">
      <alignment vertical="center" wrapText="1"/>
    </xf>
    <xf numFmtId="9" fontId="17" fillId="0" borderId="15" xfId="8" applyFont="1" applyFill="1" applyBorder="1" applyAlignment="1">
      <alignment vertical="center" wrapText="1"/>
    </xf>
    <xf numFmtId="3" fontId="17" fillId="0" borderId="38" xfId="3" applyNumberFormat="1" applyFont="1" applyFill="1" applyBorder="1" applyAlignment="1">
      <alignment horizontal="right" vertical="center" wrapText="1"/>
    </xf>
    <xf numFmtId="0" fontId="16" fillId="10" borderId="47" xfId="3" applyFont="1" applyFill="1" applyBorder="1" applyAlignment="1">
      <alignment horizontal="center" vertical="center" wrapText="1"/>
    </xf>
    <xf numFmtId="0" fontId="16" fillId="10" borderId="51" xfId="3" applyFont="1" applyFill="1" applyBorder="1" applyAlignment="1">
      <alignment horizontal="center" vertical="center" wrapText="1"/>
    </xf>
    <xf numFmtId="0" fontId="16" fillId="10" borderId="36" xfId="3" applyFont="1" applyFill="1" applyBorder="1" applyAlignment="1">
      <alignment horizontal="left" vertical="center" wrapText="1"/>
    </xf>
    <xf numFmtId="0" fontId="16" fillId="10" borderId="24" xfId="3" applyFont="1" applyFill="1" applyBorder="1" applyAlignment="1">
      <alignment vertical="center" wrapText="1"/>
    </xf>
    <xf numFmtId="0" fontId="17" fillId="0" borderId="0" xfId="3" applyFont="1" applyAlignment="1">
      <alignment vertical="center" wrapText="1"/>
    </xf>
    <xf numFmtId="0" fontId="16" fillId="5" borderId="13" xfId="3" applyFont="1" applyFill="1" applyBorder="1" applyAlignment="1">
      <alignment horizontal="left" vertical="center" wrapText="1"/>
    </xf>
    <xf numFmtId="0" fontId="16" fillId="5" borderId="8" xfId="3" applyFont="1" applyFill="1" applyBorder="1" applyAlignment="1">
      <alignment horizontal="left" vertical="center" wrapText="1"/>
    </xf>
    <xf numFmtId="0" fontId="16" fillId="5" borderId="4" xfId="3" applyFont="1" applyFill="1" applyBorder="1" applyAlignment="1">
      <alignment horizontal="left" vertical="center" wrapText="1"/>
    </xf>
    <xf numFmtId="0" fontId="16" fillId="5" borderId="6" xfId="3" applyFont="1" applyFill="1" applyBorder="1" applyAlignment="1">
      <alignment horizontal="left" vertical="center" wrapText="1"/>
    </xf>
    <xf numFmtId="0" fontId="16" fillId="5" borderId="4" xfId="3" applyFont="1" applyFill="1" applyBorder="1" applyAlignment="1">
      <alignment vertical="center" wrapText="1"/>
    </xf>
    <xf numFmtId="0" fontId="16" fillId="7" borderId="19" xfId="3" applyFont="1" applyFill="1" applyBorder="1" applyAlignment="1">
      <alignment horizontal="right" vertical="center" wrapText="1"/>
    </xf>
    <xf numFmtId="4" fontId="19" fillId="0" borderId="19" xfId="3" applyNumberFormat="1" applyFont="1" applyFill="1" applyBorder="1" applyAlignment="1">
      <alignment horizontal="right" vertical="center" wrapText="1"/>
    </xf>
    <xf numFmtId="3" fontId="19" fillId="0" borderId="20" xfId="3" applyNumberFormat="1" applyFont="1" applyFill="1" applyBorder="1" applyAlignment="1">
      <alignment horizontal="right" vertical="center" wrapText="1"/>
    </xf>
    <xf numFmtId="2" fontId="0" fillId="0" borderId="5" xfId="0" applyNumberFormat="1" applyFill="1" applyBorder="1"/>
    <xf numFmtId="0" fontId="21" fillId="0" borderId="0" xfId="0" applyFont="1"/>
    <xf numFmtId="43" fontId="17" fillId="0" borderId="29" xfId="1" applyFont="1" applyFill="1" applyBorder="1" applyAlignment="1">
      <alignment horizontal="right" vertical="center" wrapText="1"/>
    </xf>
    <xf numFmtId="43" fontId="17" fillId="0" borderId="30" xfId="1" applyFont="1" applyFill="1" applyBorder="1" applyAlignment="1">
      <alignment horizontal="right" vertical="center" wrapText="1"/>
    </xf>
    <xf numFmtId="43" fontId="17" fillId="0" borderId="32" xfId="1" applyFont="1" applyFill="1" applyBorder="1" applyAlignment="1">
      <alignment horizontal="right" vertical="center" wrapText="1"/>
    </xf>
    <xf numFmtId="43" fontId="17" fillId="0" borderId="34" xfId="1" applyFont="1" applyFill="1" applyBorder="1" applyAlignment="1">
      <alignment horizontal="right" vertical="center" wrapText="1"/>
    </xf>
    <xf numFmtId="43" fontId="17" fillId="0" borderId="35" xfId="1" applyFont="1" applyFill="1" applyBorder="1" applyAlignment="1">
      <alignment horizontal="right" vertical="center" wrapText="1"/>
    </xf>
    <xf numFmtId="14" fontId="0" fillId="0" borderId="0" xfId="0" applyNumberFormat="1"/>
    <xf numFmtId="0" fontId="16" fillId="10" borderId="24" xfId="3" applyFont="1" applyFill="1" applyBorder="1" applyAlignment="1">
      <alignment horizontal="center" vertical="center" wrapText="1"/>
    </xf>
    <xf numFmtId="0" fontId="16" fillId="10" borderId="47" xfId="3" applyFont="1" applyFill="1" applyBorder="1" applyAlignment="1">
      <alignment horizontal="center" vertical="center" wrapText="1"/>
    </xf>
    <xf numFmtId="0" fontId="16" fillId="10" borderId="50" xfId="3" applyFont="1" applyFill="1" applyBorder="1" applyAlignment="1">
      <alignment horizontal="center" vertical="center" wrapText="1"/>
    </xf>
    <xf numFmtId="0" fontId="16" fillId="10" borderId="51" xfId="3" applyFont="1" applyFill="1" applyBorder="1" applyAlignment="1">
      <alignment horizontal="center" vertical="center" wrapText="1"/>
    </xf>
    <xf numFmtId="0" fontId="0" fillId="0" borderId="0" xfId="0" applyAlignment="1">
      <alignment horizontal="left" wrapText="1"/>
    </xf>
    <xf numFmtId="0" fontId="16" fillId="10" borderId="36" xfId="3" applyFont="1" applyFill="1" applyBorder="1" applyAlignment="1">
      <alignment horizontal="left" vertical="center" wrapText="1"/>
    </xf>
    <xf numFmtId="0" fontId="16" fillId="10" borderId="38" xfId="3" applyFont="1" applyFill="1" applyBorder="1" applyAlignment="1">
      <alignment horizontal="left" vertical="center" wrapText="1"/>
    </xf>
    <xf numFmtId="0" fontId="17" fillId="0" borderId="45" xfId="3" applyFont="1" applyBorder="1" applyAlignment="1">
      <alignment horizontal="left" vertical="center" wrapText="1"/>
    </xf>
    <xf numFmtId="0" fontId="17" fillId="0" borderId="46" xfId="3" applyFont="1" applyBorder="1" applyAlignment="1">
      <alignment horizontal="left" vertical="center" wrapText="1"/>
    </xf>
    <xf numFmtId="0" fontId="16" fillId="10" borderId="24" xfId="3" applyFont="1" applyFill="1" applyBorder="1" applyAlignment="1">
      <alignment vertical="center" wrapText="1"/>
    </xf>
    <xf numFmtId="0" fontId="16" fillId="10" borderId="47" xfId="3" applyFont="1" applyFill="1" applyBorder="1" applyAlignment="1">
      <alignment vertical="center" wrapText="1"/>
    </xf>
    <xf numFmtId="2" fontId="17" fillId="2" borderId="26" xfId="3" applyNumberFormat="1" applyFont="1" applyFill="1" applyBorder="1" applyAlignment="1">
      <alignment horizontal="left" vertical="center" wrapText="1"/>
    </xf>
    <xf numFmtId="2" fontId="17" fillId="2" borderId="48" xfId="3" applyNumberFormat="1" applyFont="1" applyFill="1" applyBorder="1" applyAlignment="1">
      <alignment horizontal="left" vertical="center" wrapText="1"/>
    </xf>
    <xf numFmtId="2" fontId="17" fillId="2" borderId="27" xfId="3" applyNumberFormat="1" applyFont="1" applyFill="1" applyBorder="1" applyAlignment="1">
      <alignment horizontal="left" vertical="center" wrapText="1"/>
    </xf>
    <xf numFmtId="2" fontId="17" fillId="2" borderId="49" xfId="3" applyNumberFormat="1" applyFont="1" applyFill="1" applyBorder="1" applyAlignment="1">
      <alignment horizontal="left" vertical="center" wrapText="1"/>
    </xf>
    <xf numFmtId="0" fontId="17" fillId="2" borderId="45" xfId="3" applyFont="1" applyFill="1" applyBorder="1" applyAlignment="1">
      <alignment horizontal="left" vertical="center" wrapText="1"/>
    </xf>
    <xf numFmtId="0" fontId="17" fillId="2" borderId="46" xfId="3" applyFont="1" applyFill="1" applyBorder="1" applyAlignment="1">
      <alignment horizontal="left" vertical="center" wrapText="1"/>
    </xf>
    <xf numFmtId="0" fontId="17" fillId="2" borderId="43" xfId="3" applyFont="1" applyFill="1" applyBorder="1" applyAlignment="1">
      <alignment horizontal="left" vertical="center" wrapText="1"/>
    </xf>
    <xf numFmtId="0" fontId="17" fillId="2" borderId="44" xfId="3" applyFont="1" applyFill="1" applyBorder="1" applyAlignment="1">
      <alignment horizontal="left" vertical="center" wrapText="1"/>
    </xf>
    <xf numFmtId="0" fontId="16" fillId="10" borderId="37" xfId="3" applyFont="1" applyFill="1" applyBorder="1" applyAlignment="1">
      <alignment horizontal="left" vertical="center" wrapText="1"/>
    </xf>
    <xf numFmtId="0" fontId="16" fillId="10" borderId="26" xfId="3" applyFont="1" applyFill="1" applyBorder="1" applyAlignment="1">
      <alignment horizontal="left" vertical="center" wrapText="1"/>
    </xf>
    <xf numFmtId="0" fontId="17" fillId="0" borderId="0" xfId="3" applyFont="1" applyAlignment="1">
      <alignment vertical="center" wrapText="1"/>
    </xf>
    <xf numFmtId="0" fontId="16" fillId="5" borderId="4" xfId="3" applyFont="1" applyFill="1" applyBorder="1" applyAlignment="1">
      <alignment vertical="center" wrapText="1"/>
    </xf>
    <xf numFmtId="0" fontId="16" fillId="5" borderId="6" xfId="3" applyFont="1" applyFill="1" applyBorder="1" applyAlignment="1">
      <alignment vertical="center" wrapText="1"/>
    </xf>
    <xf numFmtId="0" fontId="16" fillId="5" borderId="7" xfId="3" applyFont="1" applyFill="1" applyBorder="1" applyAlignment="1">
      <alignment horizontal="center" vertical="center" wrapText="1"/>
    </xf>
    <xf numFmtId="0" fontId="16" fillId="5" borderId="39" xfId="3" applyFont="1" applyFill="1" applyBorder="1" applyAlignment="1">
      <alignment horizontal="center" vertical="center" wrapText="1"/>
    </xf>
    <xf numFmtId="0" fontId="16" fillId="5" borderId="40" xfId="3" applyFont="1" applyFill="1" applyBorder="1" applyAlignment="1">
      <alignment horizontal="center" vertical="center" wrapText="1"/>
    </xf>
    <xf numFmtId="0" fontId="17" fillId="0" borderId="12" xfId="3" applyFont="1" applyBorder="1" applyAlignment="1">
      <alignment horizontal="left" vertical="center" wrapText="1"/>
    </xf>
    <xf numFmtId="0" fontId="17" fillId="0" borderId="10" xfId="3" applyFont="1" applyBorder="1" applyAlignment="1">
      <alignment horizontal="left" vertical="center" wrapText="1"/>
    </xf>
    <xf numFmtId="0" fontId="20" fillId="0" borderId="0" xfId="3" applyFont="1" applyAlignment="1">
      <alignment horizontal="center" vertical="center" wrapText="1"/>
    </xf>
    <xf numFmtId="0" fontId="16" fillId="5" borderId="13" xfId="3" applyFont="1" applyFill="1" applyBorder="1" applyAlignment="1">
      <alignment horizontal="left" vertical="center" wrapText="1"/>
    </xf>
    <xf numFmtId="0" fontId="16" fillId="5" borderId="8" xfId="3" applyFont="1" applyFill="1" applyBorder="1" applyAlignment="1">
      <alignment horizontal="left" vertical="center" wrapText="1"/>
    </xf>
    <xf numFmtId="0" fontId="17" fillId="0" borderId="11" xfId="3" applyFont="1" applyBorder="1" applyAlignment="1">
      <alignment horizontal="left" vertical="center" wrapText="1"/>
    </xf>
    <xf numFmtId="0" fontId="17" fillId="0" borderId="9" xfId="3" applyFont="1" applyBorder="1" applyAlignment="1">
      <alignment horizontal="left" vertical="center" wrapText="1"/>
    </xf>
    <xf numFmtId="0" fontId="16" fillId="5" borderId="4" xfId="3" applyFont="1" applyFill="1" applyBorder="1" applyAlignment="1">
      <alignment horizontal="left" vertical="center" wrapText="1"/>
    </xf>
    <xf numFmtId="0" fontId="16" fillId="5" borderId="6" xfId="3" applyFont="1" applyFill="1" applyBorder="1" applyAlignment="1">
      <alignment horizontal="left" vertical="center" wrapText="1"/>
    </xf>
    <xf numFmtId="0" fontId="0" fillId="4" borderId="0" xfId="0" applyFill="1" applyAlignment="1">
      <alignment horizontal="left" wrapText="1"/>
    </xf>
    <xf numFmtId="0" fontId="16" fillId="5" borderId="5" xfId="3" applyFont="1" applyFill="1" applyBorder="1" applyAlignment="1">
      <alignment vertical="center" wrapText="1"/>
    </xf>
  </cellXfs>
  <cellStyles count="91">
    <cellStyle name="Comma" xfId="1" builtinId="3"/>
    <cellStyle name="Followed Hyperlink" xfId="16" builtinId="9" hidden="1"/>
    <cellStyle name="Followed Hyperlink" xfId="33" builtinId="9" hidden="1"/>
    <cellStyle name="Followed Hyperlink" xfId="80" builtinId="9" hidden="1"/>
    <cellStyle name="Followed Hyperlink" xfId="69" builtinId="9" hidden="1"/>
    <cellStyle name="Followed Hyperlink" xfId="21" builtinId="9" hidden="1"/>
    <cellStyle name="Followed Hyperlink" xfId="67" builtinId="9" hidden="1"/>
    <cellStyle name="Followed Hyperlink" xfId="31" builtinId="9" hidden="1"/>
    <cellStyle name="Followed Hyperlink" xfId="49" builtinId="9" hidden="1"/>
    <cellStyle name="Followed Hyperlink" xfId="75" builtinId="9" hidden="1"/>
    <cellStyle name="Followed Hyperlink" xfId="41" builtinId="9" hidden="1"/>
    <cellStyle name="Followed Hyperlink" xfId="28" builtinId="9" hidden="1"/>
    <cellStyle name="Followed Hyperlink" xfId="53" builtinId="9" hidden="1"/>
    <cellStyle name="Followed Hyperlink" xfId="26" builtinId="9" hidden="1"/>
    <cellStyle name="Followed Hyperlink" xfId="59" builtinId="9" hidden="1"/>
    <cellStyle name="Followed Hyperlink" xfId="20" builtinId="9" hidden="1"/>
    <cellStyle name="Followed Hyperlink" xfId="87" builtinId="9" hidden="1"/>
    <cellStyle name="Followed Hyperlink" xfId="32" builtinId="9" hidden="1"/>
    <cellStyle name="Followed Hyperlink" xfId="66" builtinId="9" hidden="1"/>
    <cellStyle name="Followed Hyperlink" xfId="60" builtinId="9" hidden="1"/>
    <cellStyle name="Followed Hyperlink" xfId="15" builtinId="9" hidden="1"/>
    <cellStyle name="Followed Hyperlink" xfId="40" builtinId="9" hidden="1"/>
    <cellStyle name="Followed Hyperlink" xfId="90" builtinId="9" hidden="1"/>
    <cellStyle name="Followed Hyperlink" xfId="48" builtinId="9" hidden="1"/>
    <cellStyle name="Followed Hyperlink" xfId="63" builtinId="9" hidden="1"/>
    <cellStyle name="Followed Hyperlink" xfId="7" builtinId="9" hidden="1"/>
    <cellStyle name="Followed Hyperlink" xfId="4" builtinId="9" hidden="1"/>
    <cellStyle name="Followed Hyperlink" xfId="47" builtinId="9" hidden="1"/>
    <cellStyle name="Followed Hyperlink" xfId="35" builtinId="9" hidden="1"/>
    <cellStyle name="Followed Hyperlink" xfId="86" builtinId="9" hidden="1"/>
    <cellStyle name="Followed Hyperlink" xfId="58" builtinId="9" hidden="1"/>
    <cellStyle name="Followed Hyperlink" xfId="17" builtinId="9" hidden="1"/>
    <cellStyle name="Followed Hyperlink" xfId="6" builtinId="9" hidden="1"/>
    <cellStyle name="Followed Hyperlink" xfId="27" builtinId="9" hidden="1"/>
    <cellStyle name="Followed Hyperlink" xfId="10" builtinId="9" hidden="1"/>
    <cellStyle name="Followed Hyperlink" xfId="9" builtinId="9" hidden="1"/>
    <cellStyle name="Followed Hyperlink" xfId="34" builtinId="9" hidden="1"/>
    <cellStyle name="Followed Hyperlink" xfId="52" builtinId="9" hidden="1"/>
    <cellStyle name="Followed Hyperlink" xfId="45" builtinId="9" hidden="1"/>
    <cellStyle name="Followed Hyperlink" xfId="88" builtinId="9" hidden="1"/>
    <cellStyle name="Followed Hyperlink" xfId="72" builtinId="9" hidden="1"/>
    <cellStyle name="Followed Hyperlink" xfId="13" builtinId="9" hidden="1"/>
    <cellStyle name="Followed Hyperlink" xfId="11" builtinId="9" hidden="1"/>
    <cellStyle name="Followed Hyperlink" xfId="38" builtinId="9" hidden="1"/>
    <cellStyle name="Followed Hyperlink" xfId="42" builtinId="9" hidden="1"/>
    <cellStyle name="Followed Hyperlink" xfId="79" builtinId="9" hidden="1"/>
    <cellStyle name="Followed Hyperlink" xfId="76" builtinId="9" hidden="1"/>
    <cellStyle name="Followed Hyperlink" xfId="46" builtinId="9" hidden="1"/>
    <cellStyle name="Followed Hyperlink" xfId="77" builtinId="9" hidden="1"/>
    <cellStyle name="Followed Hyperlink" xfId="39" builtinId="9" hidden="1"/>
    <cellStyle name="Followed Hyperlink" xfId="74" builtinId="9" hidden="1"/>
    <cellStyle name="Followed Hyperlink" xfId="73" builtinId="9" hidden="1"/>
    <cellStyle name="Followed Hyperlink" xfId="30" builtinId="9" hidden="1"/>
    <cellStyle name="Followed Hyperlink" xfId="82" builtinId="9" hidden="1"/>
    <cellStyle name="Followed Hyperlink" xfId="55" builtinId="9" hidden="1"/>
    <cellStyle name="Followed Hyperlink" xfId="22" builtinId="9" hidden="1"/>
    <cellStyle name="Followed Hyperlink" xfId="56" builtinId="9" hidden="1"/>
    <cellStyle name="Followed Hyperlink" xfId="37" builtinId="9" hidden="1"/>
    <cellStyle name="Followed Hyperlink" xfId="54" builtinId="9" hidden="1"/>
    <cellStyle name="Followed Hyperlink" xfId="12" builtinId="9" hidden="1"/>
    <cellStyle name="Followed Hyperlink" xfId="19" builtinId="9" hidden="1"/>
    <cellStyle name="Followed Hyperlink" xfId="71" builtinId="9" hidden="1"/>
    <cellStyle name="Followed Hyperlink" xfId="5" builtinId="9" hidden="1"/>
    <cellStyle name="Followed Hyperlink" xfId="65" builtinId="9" hidden="1"/>
    <cellStyle name="Followed Hyperlink" xfId="78" builtinId="9" hidden="1"/>
    <cellStyle name="Followed Hyperlink" xfId="61" builtinId="9" hidden="1"/>
    <cellStyle name="Followed Hyperlink" xfId="57" builtinId="9" hidden="1"/>
    <cellStyle name="Followed Hyperlink" xfId="14" builtinId="9" hidden="1"/>
    <cellStyle name="Followed Hyperlink" xfId="64" builtinId="9" hidden="1"/>
    <cellStyle name="Followed Hyperlink" xfId="24" builtinId="9" hidden="1"/>
    <cellStyle name="Followed Hyperlink" xfId="51" builtinId="9" hidden="1"/>
    <cellStyle name="Followed Hyperlink" xfId="18" builtinId="9" hidden="1"/>
    <cellStyle name="Followed Hyperlink" xfId="23" builtinId="9" hidden="1"/>
    <cellStyle name="Followed Hyperlink" xfId="44" builtinId="9" hidden="1"/>
    <cellStyle name="Followed Hyperlink" xfId="50" builtinId="9" hidden="1"/>
    <cellStyle name="Followed Hyperlink" xfId="81" builtinId="9" hidden="1"/>
    <cellStyle name="Followed Hyperlink" xfId="62" builtinId="9" hidden="1"/>
    <cellStyle name="Followed Hyperlink" xfId="29" builtinId="9" hidden="1"/>
    <cellStyle name="Followed Hyperlink" xfId="89" builtinId="9" hidden="1"/>
    <cellStyle name="Followed Hyperlink" xfId="85" builtinId="9" hidden="1"/>
    <cellStyle name="Followed Hyperlink" xfId="68" builtinId="9" hidden="1"/>
    <cellStyle name="Followed Hyperlink" xfId="84" builtinId="9" hidden="1"/>
    <cellStyle name="Followed Hyperlink" xfId="25" builtinId="9" hidden="1"/>
    <cellStyle name="Followed Hyperlink" xfId="70" builtinId="9" hidden="1"/>
    <cellStyle name="Followed Hyperlink" xfId="43" builtinId="9" hidden="1"/>
    <cellStyle name="Followed Hyperlink" xfId="36" builtinId="9" hidden="1"/>
    <cellStyle name="Followed Hyperlink" xfId="83" builtinId="9" hidden="1"/>
    <cellStyle name="Hyperlink" xfId="2" builtinId="8"/>
    <cellStyle name="Normal" xfId="0" builtinId="0"/>
    <cellStyle name="Normal_Sheet1" xfId="3" xr:uid="{00000000-0005-0000-0000-000059000000}"/>
    <cellStyle name="Percent" xfId="8" builtinId="5"/>
  </cellStyles>
  <dxfs count="0"/>
  <tableStyles count="0" defaultTableStyle="TableStyleMedium9" defaultPivotStyle="PivotStyleMedium4"/>
  <colors>
    <mruColors>
      <color rgb="FFFFCC00"/>
      <color rgb="FFFFEEB7"/>
      <color rgb="FFFFCC66"/>
      <color rgb="FFFFEE71"/>
      <color rgb="FF0076A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hyperlink" Target="#'Better Planet'!A1"/><Relationship Id="rId2" Type="http://schemas.openxmlformats.org/officeDocument/2006/relationships/image" Target="../media/image2.png"/><Relationship Id="rId1" Type="http://schemas.openxmlformats.org/officeDocument/2006/relationships/image" Target="../media/image1.JPG"/><Relationship Id="rId5" Type="http://schemas.openxmlformats.org/officeDocument/2006/relationships/hyperlink" Target="#'Better Business'!A1"/><Relationship Id="rId4" Type="http://schemas.openxmlformats.org/officeDocument/2006/relationships/hyperlink" Target="#'Better Communities'!A1"/></Relationships>
</file>

<file path=xl/drawings/_rels/drawing2.xml.rels><?xml version="1.0" encoding="UTF-8" standalone="yes"?>
<Relationships xmlns="http://schemas.openxmlformats.org/package/2006/relationships"><Relationship Id="rId1" Type="http://schemas.openxmlformats.org/officeDocument/2006/relationships/image" Target="../media/image3.gif"/></Relationships>
</file>

<file path=xl/drawings/_rels/drawing3.xml.rels><?xml version="1.0" encoding="UTF-8" standalone="yes"?>
<Relationships xmlns="http://schemas.openxmlformats.org/package/2006/relationships"><Relationship Id="rId1" Type="http://schemas.openxmlformats.org/officeDocument/2006/relationships/image" Target="../media/image3.gif"/></Relationships>
</file>

<file path=xl/drawings/_rels/drawing4.xml.rels><?xml version="1.0" encoding="UTF-8" standalone="yes"?>
<Relationships xmlns="http://schemas.openxmlformats.org/package/2006/relationships"><Relationship Id="rId1" Type="http://schemas.openxmlformats.org/officeDocument/2006/relationships/image" Target="../media/image3.gif"/></Relationships>
</file>

<file path=xl/drawings/_rels/drawing5.xml.rels><?xml version="1.0" encoding="UTF-8" standalone="yes"?>
<Relationships xmlns="http://schemas.openxmlformats.org/package/2006/relationships"><Relationship Id="rId1" Type="http://schemas.openxmlformats.org/officeDocument/2006/relationships/image" Target="../media/image3.gif"/></Relationships>
</file>

<file path=xl/drawings/drawing1.xml><?xml version="1.0" encoding="utf-8"?>
<xdr:wsDr xmlns:xdr="http://schemas.openxmlformats.org/drawingml/2006/spreadsheetDrawing" xmlns:a="http://schemas.openxmlformats.org/drawingml/2006/main">
  <xdr:twoCellAnchor editAs="absolute">
    <xdr:from>
      <xdr:col>4</xdr:col>
      <xdr:colOff>523875</xdr:colOff>
      <xdr:row>5</xdr:row>
      <xdr:rowOff>104775</xdr:rowOff>
    </xdr:from>
    <xdr:to>
      <xdr:col>10</xdr:col>
      <xdr:colOff>419100</xdr:colOff>
      <xdr:row>25</xdr:row>
      <xdr:rowOff>114300</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267075" y="1514475"/>
          <a:ext cx="4010025" cy="4010025"/>
        </a:xfrm>
        <a:prstGeom prst="rect">
          <a:avLst/>
        </a:prstGeom>
      </xdr:spPr>
    </xdr:pic>
    <xdr:clientData/>
  </xdr:twoCellAnchor>
  <xdr:twoCellAnchor>
    <xdr:from>
      <xdr:col>0</xdr:col>
      <xdr:colOff>142875</xdr:colOff>
      <xdr:row>2</xdr:row>
      <xdr:rowOff>133349</xdr:rowOff>
    </xdr:from>
    <xdr:to>
      <xdr:col>4</xdr:col>
      <xdr:colOff>361951</xdr:colOff>
      <xdr:row>8</xdr:row>
      <xdr:rowOff>133350</xdr:rowOff>
    </xdr:to>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142875" y="533399"/>
          <a:ext cx="2962276" cy="12001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3200" b="1">
              <a:solidFill>
                <a:srgbClr val="0076AA"/>
              </a:solidFill>
              <a:latin typeface="Segoe UI" panose="020B0502040204020203" pitchFamily="34" charset="0"/>
              <a:ea typeface="Segoe UI" panose="020B0502040204020203" pitchFamily="34" charset="0"/>
              <a:cs typeface="Segoe UI" panose="020B0502040204020203" pitchFamily="34" charset="0"/>
            </a:rPr>
            <a:t>Sustainability Framework</a:t>
          </a:r>
        </a:p>
      </xdr:txBody>
    </xdr:sp>
    <xdr:clientData/>
  </xdr:twoCellAnchor>
  <xdr:twoCellAnchor editAs="oneCell">
    <xdr:from>
      <xdr:col>0</xdr:col>
      <xdr:colOff>257176</xdr:colOff>
      <xdr:row>0</xdr:row>
      <xdr:rowOff>152402</xdr:rowOff>
    </xdr:from>
    <xdr:to>
      <xdr:col>2</xdr:col>
      <xdr:colOff>152400</xdr:colOff>
      <xdr:row>2</xdr:row>
      <xdr:rowOff>41717</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stretch>
          <a:fillRect/>
        </a:stretch>
      </xdr:blipFill>
      <xdr:spPr>
        <a:xfrm>
          <a:off x="257176" y="152402"/>
          <a:ext cx="1266824" cy="289365"/>
        </a:xfrm>
        <a:prstGeom prst="rect">
          <a:avLst/>
        </a:prstGeom>
      </xdr:spPr>
    </xdr:pic>
    <xdr:clientData/>
  </xdr:twoCellAnchor>
  <xdr:twoCellAnchor>
    <xdr:from>
      <xdr:col>4</xdr:col>
      <xdr:colOff>523875</xdr:colOff>
      <xdr:row>7</xdr:row>
      <xdr:rowOff>180975</xdr:rowOff>
    </xdr:from>
    <xdr:to>
      <xdr:col>10</xdr:col>
      <xdr:colOff>342900</xdr:colOff>
      <xdr:row>26</xdr:row>
      <xdr:rowOff>171451</xdr:rowOff>
    </xdr:to>
    <xdr:sp macro="" textlink="">
      <xdr:nvSpPr>
        <xdr:cNvPr id="5" name="Pie 4">
          <a:hlinkClick xmlns:r="http://schemas.openxmlformats.org/officeDocument/2006/relationships" r:id="rId3"/>
          <a:extLst>
            <a:ext uri="{FF2B5EF4-FFF2-40B4-BE49-F238E27FC236}">
              <a16:creationId xmlns:a16="http://schemas.microsoft.com/office/drawing/2014/main" id="{00000000-0008-0000-0000-000005000000}"/>
            </a:ext>
          </a:extLst>
        </xdr:cNvPr>
        <xdr:cNvSpPr/>
      </xdr:nvSpPr>
      <xdr:spPr>
        <a:xfrm>
          <a:off x="3267075" y="1581150"/>
          <a:ext cx="3933825" cy="3790951"/>
        </a:xfrm>
        <a:prstGeom prst="pie">
          <a:avLst>
            <a:gd name="adj1" fmla="val 12664927"/>
            <a:gd name="adj2" fmla="val 19795921"/>
          </a:avLst>
        </a:prstGeom>
        <a:noFill/>
        <a:ln>
          <a:no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en-GB" sz="1100">
            <a:solidFill>
              <a:schemeClr val="tx1"/>
            </a:solidFill>
          </a:endParaRPr>
        </a:p>
      </xdr:txBody>
    </xdr:sp>
    <xdr:clientData/>
  </xdr:twoCellAnchor>
  <xdr:twoCellAnchor>
    <xdr:from>
      <xdr:col>4</xdr:col>
      <xdr:colOff>514350</xdr:colOff>
      <xdr:row>8</xdr:row>
      <xdr:rowOff>66675</xdr:rowOff>
    </xdr:from>
    <xdr:to>
      <xdr:col>10</xdr:col>
      <xdr:colOff>333375</xdr:colOff>
      <xdr:row>27</xdr:row>
      <xdr:rowOff>57151</xdr:rowOff>
    </xdr:to>
    <xdr:sp macro="" textlink="">
      <xdr:nvSpPr>
        <xdr:cNvPr id="6" name="Pie 5">
          <a:hlinkClick xmlns:r="http://schemas.openxmlformats.org/officeDocument/2006/relationships" r:id="rId4"/>
          <a:extLst>
            <a:ext uri="{FF2B5EF4-FFF2-40B4-BE49-F238E27FC236}">
              <a16:creationId xmlns:a16="http://schemas.microsoft.com/office/drawing/2014/main" id="{00000000-0008-0000-0000-000006000000}"/>
            </a:ext>
          </a:extLst>
        </xdr:cNvPr>
        <xdr:cNvSpPr/>
      </xdr:nvSpPr>
      <xdr:spPr>
        <a:xfrm>
          <a:off x="3257550" y="1666875"/>
          <a:ext cx="3933825" cy="3790951"/>
        </a:xfrm>
        <a:prstGeom prst="pie">
          <a:avLst>
            <a:gd name="adj1" fmla="val 5419207"/>
            <a:gd name="adj2" fmla="val 12672165"/>
          </a:avLst>
        </a:prstGeom>
        <a:noFill/>
        <a:ln>
          <a:no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en-GB" sz="1100">
            <a:solidFill>
              <a:srgbClr val="FF0000"/>
            </a:solidFill>
          </a:endParaRPr>
        </a:p>
      </xdr:txBody>
    </xdr:sp>
    <xdr:clientData/>
  </xdr:twoCellAnchor>
  <xdr:twoCellAnchor>
    <xdr:from>
      <xdr:col>4</xdr:col>
      <xdr:colOff>600075</xdr:colOff>
      <xdr:row>8</xdr:row>
      <xdr:rowOff>47625</xdr:rowOff>
    </xdr:from>
    <xdr:to>
      <xdr:col>10</xdr:col>
      <xdr:colOff>419100</xdr:colOff>
      <xdr:row>27</xdr:row>
      <xdr:rowOff>38101</xdr:rowOff>
    </xdr:to>
    <xdr:sp macro="" textlink="">
      <xdr:nvSpPr>
        <xdr:cNvPr id="7" name="Pie 6">
          <a:hlinkClick xmlns:r="http://schemas.openxmlformats.org/officeDocument/2006/relationships" r:id="rId5"/>
          <a:extLst>
            <a:ext uri="{FF2B5EF4-FFF2-40B4-BE49-F238E27FC236}">
              <a16:creationId xmlns:a16="http://schemas.microsoft.com/office/drawing/2014/main" id="{00000000-0008-0000-0000-000007000000}"/>
            </a:ext>
          </a:extLst>
        </xdr:cNvPr>
        <xdr:cNvSpPr/>
      </xdr:nvSpPr>
      <xdr:spPr>
        <a:xfrm>
          <a:off x="3343275" y="1647825"/>
          <a:ext cx="3933825" cy="3790951"/>
        </a:xfrm>
        <a:prstGeom prst="pie">
          <a:avLst>
            <a:gd name="adj1" fmla="val 19842265"/>
            <a:gd name="adj2" fmla="val 5414272"/>
          </a:avLst>
        </a:prstGeom>
        <a:noFill/>
        <a:ln>
          <a:no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en-GB" sz="1100">
            <a:solidFill>
              <a:srgbClr val="FF0000"/>
            </a:solidFill>
          </a:endParaRPr>
        </a:p>
      </xdr:txBody>
    </xdr:sp>
    <xdr:clientData/>
  </xdr:twoCellAnchor>
  <xdr:twoCellAnchor>
    <xdr:from>
      <xdr:col>10</xdr:col>
      <xdr:colOff>581025</xdr:colOff>
      <xdr:row>2</xdr:row>
      <xdr:rowOff>142874</xdr:rowOff>
    </xdr:from>
    <xdr:to>
      <xdr:col>14</xdr:col>
      <xdr:colOff>533400</xdr:colOff>
      <xdr:row>7</xdr:row>
      <xdr:rowOff>28575</xdr:rowOff>
    </xdr:to>
    <xdr:sp macro="" textlink="">
      <xdr:nvSpPr>
        <xdr:cNvPr id="8" name="TextBox 7">
          <a:extLst>
            <a:ext uri="{FF2B5EF4-FFF2-40B4-BE49-F238E27FC236}">
              <a16:creationId xmlns:a16="http://schemas.microsoft.com/office/drawing/2014/main" id="{00000000-0008-0000-0000-000008000000}"/>
            </a:ext>
          </a:extLst>
        </xdr:cNvPr>
        <xdr:cNvSpPr txBox="1"/>
      </xdr:nvSpPr>
      <xdr:spPr>
        <a:xfrm>
          <a:off x="7439025" y="542924"/>
          <a:ext cx="2695575" cy="12954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n-GB" sz="3200" b="1">
              <a:solidFill>
                <a:srgbClr val="0076AA"/>
              </a:solidFill>
              <a:latin typeface="Segoe UI" panose="020B0502040204020203" pitchFamily="34" charset="0"/>
              <a:ea typeface="Segoe UI" panose="020B0502040204020203" pitchFamily="34" charset="0"/>
              <a:cs typeface="Segoe UI" panose="020B0502040204020203" pitchFamily="34" charset="0"/>
            </a:rPr>
            <a:t>Five</a:t>
          </a:r>
          <a:r>
            <a:rPr lang="en-GB" sz="3200" b="1" baseline="0">
              <a:solidFill>
                <a:srgbClr val="0076AA"/>
              </a:solidFill>
              <a:latin typeface="Segoe UI" panose="020B0502040204020203" pitchFamily="34" charset="0"/>
              <a:ea typeface="Segoe UI" panose="020B0502040204020203" pitchFamily="34" charset="0"/>
              <a:cs typeface="Segoe UI" panose="020B0502040204020203" pitchFamily="34" charset="0"/>
            </a:rPr>
            <a:t> Year Report</a:t>
          </a:r>
          <a:endParaRPr lang="en-GB" sz="3200" b="1">
            <a:solidFill>
              <a:srgbClr val="0076AA"/>
            </a:solidFill>
            <a:latin typeface="Segoe UI" panose="020B0502040204020203" pitchFamily="34" charset="0"/>
            <a:ea typeface="Segoe UI" panose="020B0502040204020203" pitchFamily="34" charset="0"/>
            <a:cs typeface="Segoe UI" panose="020B0502040204020203"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472440</xdr:colOff>
      <xdr:row>0</xdr:row>
      <xdr:rowOff>129540</xdr:rowOff>
    </xdr:from>
    <xdr:to>
      <xdr:col>12</xdr:col>
      <xdr:colOff>888</xdr:colOff>
      <xdr:row>1</xdr:row>
      <xdr:rowOff>274320</xdr:rowOff>
    </xdr:to>
    <xdr:pic>
      <xdr:nvPicPr>
        <xdr:cNvPr id="3" name="Picture 2" descr="clip_image002">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883140" y="129540"/>
          <a:ext cx="1204848" cy="342900"/>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472440</xdr:colOff>
      <xdr:row>0</xdr:row>
      <xdr:rowOff>129540</xdr:rowOff>
    </xdr:from>
    <xdr:to>
      <xdr:col>12</xdr:col>
      <xdr:colOff>888</xdr:colOff>
      <xdr:row>1</xdr:row>
      <xdr:rowOff>277836</xdr:rowOff>
    </xdr:to>
    <xdr:pic>
      <xdr:nvPicPr>
        <xdr:cNvPr id="3" name="Picture 2" descr="clip_image002">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74580" y="129540"/>
          <a:ext cx="1204848" cy="346416"/>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10</xdr:col>
      <xdr:colOff>472440</xdr:colOff>
      <xdr:row>0</xdr:row>
      <xdr:rowOff>83820</xdr:rowOff>
    </xdr:from>
    <xdr:to>
      <xdr:col>12</xdr:col>
      <xdr:colOff>336168</xdr:colOff>
      <xdr:row>1</xdr:row>
      <xdr:rowOff>320040</xdr:rowOff>
    </xdr:to>
    <xdr:pic>
      <xdr:nvPicPr>
        <xdr:cNvPr id="2" name="Picture 1" descr="clip_image002">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88880" y="83820"/>
          <a:ext cx="1540128" cy="434340"/>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660862</xdr:colOff>
      <xdr:row>0</xdr:row>
      <xdr:rowOff>108064</xdr:rowOff>
    </xdr:from>
    <xdr:to>
      <xdr:col>8</xdr:col>
      <xdr:colOff>23056</xdr:colOff>
      <xdr:row>1</xdr:row>
      <xdr:rowOff>253589</xdr:rowOff>
    </xdr:to>
    <xdr:pic>
      <xdr:nvPicPr>
        <xdr:cNvPr id="2" name="Picture 1" descr="clip_image002">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35389" y="108064"/>
          <a:ext cx="1204848" cy="346416"/>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sheetPr>
  <dimension ref="A1:V42"/>
  <sheetViews>
    <sheetView workbookViewId="0">
      <selection activeCell="A28" sqref="A28"/>
    </sheetView>
  </sheetViews>
  <sheetFormatPr defaultColWidth="9" defaultRowHeight="15.5" x14ac:dyDescent="0.35"/>
  <sheetData>
    <row r="1" spans="1:22" x14ac:dyDescent="0.35">
      <c r="A1" s="8"/>
      <c r="B1" s="8"/>
      <c r="C1" s="8"/>
      <c r="D1" s="8"/>
      <c r="E1" s="8"/>
      <c r="F1" s="8"/>
      <c r="G1" s="8"/>
      <c r="H1" s="8"/>
      <c r="I1" s="8"/>
      <c r="J1" s="8"/>
      <c r="K1" s="8"/>
      <c r="L1" s="8"/>
      <c r="M1" s="8"/>
      <c r="N1" s="8"/>
      <c r="O1" s="8"/>
      <c r="P1" s="158"/>
      <c r="Q1" s="158"/>
      <c r="R1" s="158"/>
      <c r="S1" s="158"/>
      <c r="T1" s="158"/>
      <c r="U1" s="158"/>
      <c r="V1" s="158"/>
    </row>
    <row r="2" spans="1:22" x14ac:dyDescent="0.35">
      <c r="A2" s="8"/>
      <c r="B2" s="8"/>
      <c r="C2" s="8"/>
      <c r="D2" s="8"/>
      <c r="E2" s="8"/>
      <c r="F2" s="8"/>
      <c r="G2" s="8"/>
      <c r="H2" s="8"/>
      <c r="I2" s="8"/>
      <c r="J2" s="8"/>
      <c r="K2" s="8"/>
      <c r="L2" s="8"/>
      <c r="M2" s="8"/>
      <c r="N2" s="8"/>
      <c r="O2" s="8"/>
      <c r="P2" s="158"/>
      <c r="Q2" s="158"/>
      <c r="R2" s="158"/>
      <c r="S2" s="158"/>
      <c r="T2" s="158"/>
      <c r="U2" s="158"/>
      <c r="V2" s="158"/>
    </row>
    <row r="3" spans="1:22" x14ac:dyDescent="0.35">
      <c r="A3" s="8"/>
      <c r="B3" s="8"/>
      <c r="C3" s="8"/>
      <c r="D3" s="8"/>
      <c r="E3" s="8"/>
      <c r="F3" s="8"/>
      <c r="G3" s="8"/>
      <c r="H3" s="8"/>
      <c r="I3" s="8"/>
      <c r="J3" s="8"/>
      <c r="K3" s="8"/>
      <c r="L3" s="8"/>
      <c r="M3" s="8"/>
      <c r="N3" s="8"/>
      <c r="O3" s="8"/>
      <c r="P3" s="158"/>
      <c r="Q3" s="158"/>
      <c r="R3" s="158"/>
      <c r="S3" s="158"/>
      <c r="T3" s="158"/>
      <c r="U3" s="158"/>
      <c r="V3" s="158"/>
    </row>
    <row r="4" spans="1:22" ht="46" x14ac:dyDescent="1.1499999999999999">
      <c r="A4" s="8"/>
      <c r="B4" s="8"/>
      <c r="C4" s="8"/>
      <c r="D4" s="8"/>
      <c r="E4" s="8"/>
      <c r="F4" s="8"/>
      <c r="G4" s="8"/>
      <c r="H4" s="8"/>
      <c r="I4" s="8"/>
      <c r="J4" s="8"/>
      <c r="K4" s="8"/>
      <c r="L4" s="22"/>
      <c r="M4" s="8"/>
      <c r="N4" s="8"/>
      <c r="O4" s="8"/>
      <c r="P4" s="158"/>
      <c r="Q4" s="158"/>
      <c r="R4" s="158"/>
      <c r="S4" s="158"/>
      <c r="T4" s="158"/>
      <c r="U4" s="158"/>
      <c r="V4" s="158"/>
    </row>
    <row r="5" spans="1:22" x14ac:dyDescent="0.35">
      <c r="A5" s="8"/>
      <c r="B5" s="8"/>
      <c r="C5" s="8"/>
      <c r="D5" s="8"/>
      <c r="E5" s="8"/>
      <c r="F5" s="8"/>
      <c r="G5" s="8"/>
      <c r="H5" s="8"/>
      <c r="I5" s="8"/>
      <c r="J5" s="8"/>
      <c r="K5" s="8"/>
      <c r="L5" s="8"/>
      <c r="M5" s="8"/>
      <c r="N5" s="8"/>
      <c r="O5" s="8"/>
      <c r="P5" s="158"/>
      <c r="Q5" s="158"/>
      <c r="R5" s="158"/>
      <c r="S5" s="158"/>
      <c r="T5" s="158"/>
      <c r="U5" s="158"/>
      <c r="V5" s="158"/>
    </row>
    <row r="6" spans="1:22" x14ac:dyDescent="0.35">
      <c r="A6" s="8"/>
      <c r="B6" s="8"/>
      <c r="C6" s="8"/>
      <c r="D6" s="8"/>
      <c r="E6" s="8"/>
      <c r="F6" s="8"/>
      <c r="G6" s="8"/>
      <c r="H6" s="8"/>
      <c r="I6" s="8"/>
      <c r="J6" s="8"/>
      <c r="K6" s="8"/>
      <c r="L6" s="8"/>
      <c r="M6" s="8"/>
      <c r="N6" s="8"/>
      <c r="O6" s="8"/>
      <c r="P6" s="158"/>
      <c r="Q6" s="158"/>
      <c r="R6" s="158"/>
      <c r="S6" s="158"/>
      <c r="T6" s="158"/>
      <c r="U6" s="158"/>
      <c r="V6" s="158"/>
    </row>
    <row r="7" spans="1:22" x14ac:dyDescent="0.35">
      <c r="A7" s="8"/>
      <c r="B7" s="8"/>
      <c r="C7" s="8"/>
      <c r="D7" s="8"/>
      <c r="E7" s="8"/>
      <c r="F7" s="8"/>
      <c r="G7" s="8"/>
      <c r="H7" s="8"/>
      <c r="I7" s="8"/>
      <c r="J7" s="8"/>
      <c r="K7" s="8"/>
      <c r="L7" s="8"/>
      <c r="M7" s="8"/>
      <c r="N7" s="8"/>
      <c r="O7" s="8"/>
      <c r="P7" s="158"/>
      <c r="Q7" s="158"/>
      <c r="R7" s="158"/>
      <c r="S7" s="158"/>
      <c r="T7" s="158"/>
      <c r="U7" s="158"/>
      <c r="V7" s="158"/>
    </row>
    <row r="8" spans="1:22" x14ac:dyDescent="0.35">
      <c r="A8" s="8"/>
      <c r="B8" s="8"/>
      <c r="C8" s="8"/>
      <c r="D8" s="8"/>
      <c r="E8" s="8"/>
      <c r="F8" s="8"/>
      <c r="G8" s="8"/>
      <c r="H8" s="8"/>
      <c r="I8" s="8"/>
      <c r="J8" s="8"/>
      <c r="K8" s="8"/>
      <c r="L8" s="8"/>
      <c r="M8" s="8"/>
      <c r="N8" s="8"/>
      <c r="O8" s="8"/>
      <c r="P8" s="158"/>
      <c r="Q8" s="158"/>
      <c r="R8" s="158"/>
      <c r="S8" s="158"/>
      <c r="T8" s="158"/>
      <c r="U8" s="158"/>
      <c r="V8" s="158"/>
    </row>
    <row r="9" spans="1:22" x14ac:dyDescent="0.35">
      <c r="A9" s="8"/>
      <c r="B9" s="8"/>
      <c r="C9" s="8"/>
      <c r="D9" s="8"/>
      <c r="E9" s="8"/>
      <c r="F9" s="8"/>
      <c r="G9" s="8"/>
      <c r="H9" s="8"/>
      <c r="I9" s="8"/>
      <c r="J9" s="8"/>
      <c r="K9" s="8"/>
      <c r="L9" s="8"/>
      <c r="M9" s="8"/>
      <c r="N9" s="8"/>
      <c r="O9" s="8"/>
      <c r="P9" s="158"/>
      <c r="Q9" s="158"/>
      <c r="R9" s="158"/>
      <c r="S9" s="158"/>
      <c r="T9" s="158"/>
      <c r="U9" s="158"/>
      <c r="V9" s="158"/>
    </row>
    <row r="10" spans="1:22" x14ac:dyDescent="0.35">
      <c r="A10" s="8"/>
      <c r="B10" s="8"/>
      <c r="C10" s="8"/>
      <c r="D10" s="8"/>
      <c r="E10" s="8"/>
      <c r="F10" s="8"/>
      <c r="G10" s="8"/>
      <c r="H10" s="8"/>
      <c r="I10" s="8"/>
      <c r="J10" s="8"/>
      <c r="K10" s="8"/>
      <c r="L10" s="8"/>
      <c r="M10" s="8"/>
      <c r="N10" s="8"/>
      <c r="O10" s="8"/>
      <c r="P10" s="158"/>
      <c r="Q10" s="158"/>
      <c r="R10" s="158"/>
      <c r="S10" s="158"/>
      <c r="T10" s="158"/>
      <c r="U10" s="158"/>
      <c r="V10" s="158"/>
    </row>
    <row r="11" spans="1:22" x14ac:dyDescent="0.35">
      <c r="A11" s="8"/>
      <c r="B11" s="8"/>
      <c r="C11" s="8"/>
      <c r="D11" s="8"/>
      <c r="E11" s="8"/>
      <c r="F11" s="8"/>
      <c r="G11" s="8"/>
      <c r="H11" s="8"/>
      <c r="I11" s="8"/>
      <c r="J11" s="8"/>
      <c r="K11" s="8"/>
      <c r="L11" s="8"/>
      <c r="M11" s="8"/>
      <c r="N11" s="8"/>
      <c r="O11" s="8"/>
      <c r="P11" s="158"/>
      <c r="Q11" s="158"/>
      <c r="R11" s="158"/>
      <c r="S11" s="158"/>
      <c r="T11" s="158"/>
      <c r="U11" s="158"/>
      <c r="V11" s="158"/>
    </row>
    <row r="12" spans="1:22" x14ac:dyDescent="0.35">
      <c r="A12" s="8"/>
      <c r="B12" s="8"/>
      <c r="C12" s="8"/>
      <c r="D12" s="8"/>
      <c r="E12" s="8"/>
      <c r="F12" s="8"/>
      <c r="G12" s="8"/>
      <c r="H12" s="8"/>
      <c r="I12" s="8"/>
      <c r="J12" s="8"/>
      <c r="K12" s="8"/>
      <c r="L12" s="8"/>
      <c r="M12" s="8"/>
      <c r="N12" s="8"/>
      <c r="O12" s="8"/>
      <c r="P12" s="158"/>
      <c r="Q12" s="158"/>
      <c r="R12" s="158"/>
      <c r="S12" s="158"/>
      <c r="T12" s="158"/>
      <c r="U12" s="158"/>
      <c r="V12" s="158"/>
    </row>
    <row r="13" spans="1:22" x14ac:dyDescent="0.35">
      <c r="A13" s="8"/>
      <c r="B13" s="8"/>
      <c r="C13" s="8"/>
      <c r="D13" s="8"/>
      <c r="E13" s="8"/>
      <c r="F13" s="8"/>
      <c r="G13" s="8"/>
      <c r="H13" s="8"/>
      <c r="I13" s="8"/>
      <c r="J13" s="8"/>
      <c r="K13" s="8"/>
      <c r="L13" s="8"/>
      <c r="M13" s="8"/>
      <c r="N13" s="8"/>
      <c r="O13" s="8"/>
      <c r="P13" s="158"/>
      <c r="Q13" s="158"/>
      <c r="R13" s="158"/>
      <c r="S13" s="158"/>
      <c r="T13" s="158"/>
      <c r="U13" s="158"/>
      <c r="V13" s="158"/>
    </row>
    <row r="14" spans="1:22" x14ac:dyDescent="0.35">
      <c r="A14" s="8"/>
      <c r="B14" s="8"/>
      <c r="C14" s="8"/>
      <c r="D14" s="8"/>
      <c r="E14" s="8"/>
      <c r="F14" s="8"/>
      <c r="G14" s="8"/>
      <c r="H14" s="8"/>
      <c r="I14" s="8"/>
      <c r="J14" s="8"/>
      <c r="K14" s="8"/>
      <c r="L14" s="8"/>
      <c r="M14" s="8"/>
      <c r="N14" s="8"/>
      <c r="O14" s="8"/>
      <c r="P14" s="158"/>
      <c r="Q14" s="158"/>
      <c r="R14" s="158"/>
      <c r="S14" s="158"/>
      <c r="T14" s="158"/>
      <c r="U14" s="158"/>
      <c r="V14" s="158"/>
    </row>
    <row r="15" spans="1:22" x14ac:dyDescent="0.35">
      <c r="A15" s="8"/>
      <c r="B15" s="8"/>
      <c r="C15" s="8"/>
      <c r="D15" s="8"/>
      <c r="E15" s="8"/>
      <c r="F15" s="8"/>
      <c r="G15" s="8"/>
      <c r="H15" s="8"/>
      <c r="I15" s="8"/>
      <c r="J15" s="8"/>
      <c r="K15" s="8"/>
      <c r="L15" s="8"/>
      <c r="M15" s="8"/>
      <c r="N15" s="8"/>
      <c r="O15" s="8"/>
      <c r="P15" s="158"/>
      <c r="Q15" s="158"/>
      <c r="R15" s="158"/>
      <c r="S15" s="158"/>
      <c r="T15" s="158"/>
      <c r="U15" s="158"/>
      <c r="V15" s="158"/>
    </row>
    <row r="16" spans="1:22" x14ac:dyDescent="0.35">
      <c r="A16" s="8"/>
      <c r="B16" s="8"/>
      <c r="C16" s="8"/>
      <c r="D16" s="8"/>
      <c r="E16" s="8"/>
      <c r="F16" s="8"/>
      <c r="G16" s="8"/>
      <c r="H16" s="8"/>
      <c r="I16" s="8"/>
      <c r="J16" s="8"/>
      <c r="K16" s="8"/>
      <c r="L16" s="8"/>
      <c r="M16" s="8"/>
      <c r="N16" s="8"/>
      <c r="O16" s="8"/>
      <c r="P16" s="158"/>
      <c r="Q16" s="158"/>
      <c r="R16" s="158"/>
      <c r="S16" s="158"/>
      <c r="T16" s="158"/>
      <c r="U16" s="158"/>
      <c r="V16" s="158"/>
    </row>
    <row r="17" spans="1:22" x14ac:dyDescent="0.35">
      <c r="A17" s="8"/>
      <c r="B17" s="8"/>
      <c r="C17" s="8"/>
      <c r="D17" s="8"/>
      <c r="E17" s="8"/>
      <c r="F17" s="8"/>
      <c r="G17" s="8"/>
      <c r="H17" s="8"/>
      <c r="I17" s="8"/>
      <c r="J17" s="8"/>
      <c r="K17" s="8"/>
      <c r="L17" s="8"/>
      <c r="M17" s="8"/>
      <c r="N17" s="8"/>
      <c r="O17" s="8"/>
      <c r="P17" s="158"/>
      <c r="Q17" s="158"/>
      <c r="R17" s="158"/>
      <c r="S17" s="158"/>
      <c r="T17" s="158"/>
      <c r="U17" s="158"/>
      <c r="V17" s="158"/>
    </row>
    <row r="18" spans="1:22" x14ac:dyDescent="0.35">
      <c r="A18" s="8"/>
      <c r="B18" s="8"/>
      <c r="C18" s="8"/>
      <c r="D18" s="8"/>
      <c r="E18" s="8"/>
      <c r="F18" s="8"/>
      <c r="G18" s="8"/>
      <c r="H18" s="8"/>
      <c r="I18" s="8"/>
      <c r="J18" s="8"/>
      <c r="K18" s="8"/>
      <c r="L18" s="8"/>
      <c r="M18" s="8"/>
      <c r="N18" s="8"/>
      <c r="O18" s="8"/>
      <c r="P18" s="158"/>
      <c r="Q18" s="158"/>
      <c r="R18" s="158"/>
      <c r="S18" s="158"/>
      <c r="T18" s="158"/>
      <c r="U18" s="158"/>
      <c r="V18" s="158"/>
    </row>
    <row r="19" spans="1:22" x14ac:dyDescent="0.35">
      <c r="A19" s="8"/>
      <c r="B19" s="8"/>
      <c r="C19" s="8"/>
      <c r="D19" s="8"/>
      <c r="E19" s="8"/>
      <c r="F19" s="8"/>
      <c r="G19" s="8"/>
      <c r="H19" s="8"/>
      <c r="I19" s="8"/>
      <c r="J19" s="8"/>
      <c r="K19" s="8"/>
      <c r="L19" s="8"/>
      <c r="M19" s="8"/>
      <c r="N19" s="8"/>
      <c r="O19" s="8"/>
      <c r="P19" s="158"/>
      <c r="Q19" s="158"/>
      <c r="R19" s="158"/>
      <c r="S19" s="158"/>
      <c r="T19" s="158"/>
      <c r="U19" s="158"/>
      <c r="V19" s="158"/>
    </row>
    <row r="20" spans="1:22" x14ac:dyDescent="0.35">
      <c r="A20" s="8"/>
      <c r="B20" s="8"/>
      <c r="C20" s="8"/>
      <c r="D20" s="8"/>
      <c r="E20" s="8"/>
      <c r="F20" s="8"/>
      <c r="G20" s="8"/>
      <c r="H20" s="8"/>
      <c r="I20" s="8"/>
      <c r="J20" s="8"/>
      <c r="K20" s="8"/>
      <c r="L20" s="8"/>
      <c r="M20" s="8"/>
      <c r="N20" s="8"/>
      <c r="O20" s="8"/>
      <c r="P20" s="158"/>
      <c r="Q20" s="158"/>
      <c r="R20" s="158"/>
      <c r="S20" s="158"/>
      <c r="T20" s="158"/>
      <c r="U20" s="158"/>
      <c r="V20" s="158"/>
    </row>
    <row r="21" spans="1:22" x14ac:dyDescent="0.35">
      <c r="A21" s="8"/>
      <c r="B21" s="8"/>
      <c r="C21" s="8"/>
      <c r="D21" s="8"/>
      <c r="E21" s="8"/>
      <c r="F21" s="8"/>
      <c r="G21" s="8"/>
      <c r="H21" s="8"/>
      <c r="I21" s="8"/>
      <c r="J21" s="8"/>
      <c r="K21" s="8"/>
      <c r="L21" s="8"/>
      <c r="M21" s="8"/>
      <c r="N21" s="8"/>
      <c r="O21" s="8"/>
      <c r="P21" s="158"/>
      <c r="Q21" s="158"/>
      <c r="R21" s="158"/>
      <c r="S21" s="158"/>
      <c r="T21" s="158"/>
      <c r="U21" s="158"/>
      <c r="V21" s="158"/>
    </row>
    <row r="22" spans="1:22" x14ac:dyDescent="0.35">
      <c r="A22" s="8"/>
      <c r="B22" s="8"/>
      <c r="C22" s="8"/>
      <c r="D22" s="8"/>
      <c r="E22" s="8"/>
      <c r="F22" s="8"/>
      <c r="G22" s="8"/>
      <c r="H22" s="8"/>
      <c r="I22" s="8"/>
      <c r="J22" s="8"/>
      <c r="K22" s="8"/>
      <c r="L22" s="8"/>
      <c r="M22" s="8"/>
      <c r="N22" s="8"/>
      <c r="O22" s="8"/>
      <c r="P22" s="158"/>
      <c r="Q22" s="158"/>
      <c r="R22" s="158"/>
      <c r="S22" s="158"/>
      <c r="T22" s="158"/>
      <c r="U22" s="158"/>
      <c r="V22" s="158"/>
    </row>
    <row r="23" spans="1:22" x14ac:dyDescent="0.35">
      <c r="A23" s="8"/>
      <c r="B23" s="8"/>
      <c r="C23" s="8"/>
      <c r="D23" s="8"/>
      <c r="E23" s="8"/>
      <c r="F23" s="8"/>
      <c r="G23" s="8"/>
      <c r="H23" s="8"/>
      <c r="I23" s="8"/>
      <c r="J23" s="8"/>
      <c r="K23" s="8"/>
      <c r="L23" s="8"/>
      <c r="M23" s="8"/>
      <c r="N23" s="8"/>
      <c r="O23" s="8"/>
      <c r="P23" s="158"/>
      <c r="Q23" s="158"/>
      <c r="R23" s="158"/>
      <c r="S23" s="158"/>
      <c r="T23" s="158"/>
      <c r="U23" s="158"/>
      <c r="V23" s="158"/>
    </row>
    <row r="24" spans="1:22" x14ac:dyDescent="0.35">
      <c r="A24" s="8"/>
      <c r="B24" s="8"/>
      <c r="C24" s="8"/>
      <c r="D24" s="8"/>
      <c r="E24" s="8"/>
      <c r="F24" s="8"/>
      <c r="G24" s="8"/>
      <c r="H24" s="8"/>
      <c r="I24" s="8"/>
      <c r="J24" s="8"/>
      <c r="K24" s="8"/>
      <c r="L24" s="8"/>
      <c r="M24" s="8"/>
      <c r="N24" s="8"/>
      <c r="O24" s="8"/>
      <c r="P24" s="158"/>
      <c r="Q24" s="158"/>
      <c r="R24" s="158"/>
      <c r="S24" s="158"/>
      <c r="T24" s="158"/>
      <c r="U24" s="158"/>
      <c r="V24" s="158"/>
    </row>
    <row r="25" spans="1:22" x14ac:dyDescent="0.35">
      <c r="A25" s="8"/>
      <c r="B25" s="8"/>
      <c r="C25" s="8"/>
      <c r="D25" s="8"/>
      <c r="E25" s="8"/>
      <c r="F25" s="8"/>
      <c r="G25" s="8"/>
      <c r="H25" s="8"/>
      <c r="I25" s="8"/>
      <c r="J25" s="8"/>
      <c r="K25" s="8"/>
      <c r="L25" s="8"/>
      <c r="M25" s="8"/>
      <c r="N25" s="8"/>
      <c r="O25" s="8"/>
      <c r="P25" s="158"/>
      <c r="Q25" s="158"/>
      <c r="R25" s="158"/>
      <c r="S25" s="158"/>
      <c r="T25" s="158"/>
      <c r="U25" s="158"/>
      <c r="V25" s="158"/>
    </row>
    <row r="26" spans="1:22" x14ac:dyDescent="0.35">
      <c r="A26" s="8"/>
      <c r="B26" s="8"/>
      <c r="C26" s="8"/>
      <c r="D26" s="8"/>
      <c r="E26" s="8"/>
      <c r="F26" s="8"/>
      <c r="G26" s="8"/>
      <c r="H26" s="8"/>
      <c r="I26" s="8"/>
      <c r="J26" s="8"/>
      <c r="K26" s="8"/>
      <c r="L26" s="8"/>
      <c r="M26" s="8"/>
      <c r="N26" s="8"/>
      <c r="O26" s="8"/>
      <c r="P26" s="158"/>
      <c r="Q26" s="158"/>
      <c r="R26" s="158"/>
      <c r="S26" s="158"/>
      <c r="T26" s="158"/>
      <c r="U26" s="158"/>
      <c r="V26" s="158"/>
    </row>
    <row r="27" spans="1:22" x14ac:dyDescent="0.35">
      <c r="A27" s="8"/>
      <c r="B27" s="8"/>
      <c r="C27" s="8"/>
      <c r="D27" s="8"/>
      <c r="E27" s="8"/>
      <c r="F27" s="8"/>
      <c r="G27" s="8"/>
      <c r="H27" s="8"/>
      <c r="I27" s="8"/>
      <c r="J27" s="8"/>
      <c r="K27" s="8"/>
      <c r="L27" s="8"/>
      <c r="M27" s="8"/>
      <c r="N27" s="8"/>
      <c r="O27" s="8"/>
      <c r="P27" s="158"/>
      <c r="Q27" s="158"/>
      <c r="R27" s="158"/>
      <c r="S27" s="158"/>
      <c r="T27" s="158"/>
      <c r="U27" s="158"/>
      <c r="V27" s="158"/>
    </row>
    <row r="28" spans="1:22" x14ac:dyDescent="0.35">
      <c r="A28" s="8"/>
      <c r="B28" s="8"/>
      <c r="C28" s="8"/>
      <c r="D28" s="8"/>
      <c r="E28" s="8"/>
      <c r="F28" s="8"/>
      <c r="G28" s="8"/>
      <c r="H28" s="8"/>
      <c r="I28" s="8"/>
      <c r="J28" s="8"/>
      <c r="K28" s="8"/>
      <c r="L28" s="8"/>
      <c r="M28" s="8"/>
      <c r="N28" s="8"/>
      <c r="O28" s="8"/>
      <c r="P28" s="158"/>
      <c r="Q28" s="158"/>
      <c r="R28" s="158"/>
      <c r="S28" s="158"/>
      <c r="T28" s="158"/>
      <c r="U28" s="158"/>
      <c r="V28" s="158"/>
    </row>
    <row r="29" spans="1:22" x14ac:dyDescent="0.35">
      <c r="A29" s="8"/>
      <c r="B29" s="8"/>
      <c r="C29" s="8"/>
      <c r="D29" s="8"/>
      <c r="E29" s="8"/>
      <c r="F29" s="8"/>
      <c r="G29" s="8"/>
      <c r="H29" s="8"/>
      <c r="I29" s="8"/>
      <c r="J29" s="8"/>
      <c r="K29" s="8"/>
      <c r="L29" s="8"/>
      <c r="M29" s="8"/>
      <c r="N29" s="8"/>
      <c r="O29" s="8"/>
      <c r="P29" s="158"/>
      <c r="Q29" s="158"/>
      <c r="R29" s="158"/>
      <c r="S29" s="158"/>
      <c r="T29" s="158"/>
      <c r="U29" s="158"/>
      <c r="V29" s="158"/>
    </row>
    <row r="30" spans="1:22" x14ac:dyDescent="0.35">
      <c r="A30" s="8"/>
      <c r="B30" s="8"/>
      <c r="C30" s="8"/>
      <c r="D30" s="8"/>
      <c r="E30" s="8"/>
      <c r="F30" s="8"/>
      <c r="G30" s="8"/>
      <c r="H30" s="8"/>
      <c r="I30" s="8"/>
      <c r="J30" s="8"/>
      <c r="K30" s="8"/>
      <c r="L30" s="8"/>
      <c r="M30" s="8"/>
      <c r="N30" s="8"/>
      <c r="O30" s="8"/>
      <c r="P30" s="158"/>
      <c r="Q30" s="158"/>
      <c r="R30" s="158"/>
      <c r="S30" s="158"/>
      <c r="T30" s="158"/>
      <c r="U30" s="158"/>
      <c r="V30" s="158"/>
    </row>
    <row r="31" spans="1:22" x14ac:dyDescent="0.35">
      <c r="A31" s="8"/>
      <c r="B31" s="8"/>
      <c r="C31" s="8"/>
      <c r="D31" s="8"/>
      <c r="E31" s="8"/>
      <c r="F31" s="8"/>
      <c r="G31" s="8"/>
      <c r="H31" s="8"/>
      <c r="I31" s="8"/>
      <c r="J31" s="8"/>
      <c r="K31" s="8"/>
      <c r="L31" s="8"/>
      <c r="M31" s="8"/>
      <c r="N31" s="8"/>
      <c r="O31" s="8"/>
      <c r="P31" s="158"/>
      <c r="Q31" s="158"/>
      <c r="R31" s="158"/>
      <c r="S31" s="158"/>
      <c r="T31" s="158"/>
      <c r="U31" s="158"/>
      <c r="V31" s="158"/>
    </row>
    <row r="32" spans="1:22" x14ac:dyDescent="0.35">
      <c r="A32" s="8"/>
      <c r="B32" s="8"/>
      <c r="C32" s="8"/>
      <c r="D32" s="8"/>
      <c r="E32" s="8"/>
      <c r="F32" s="8"/>
      <c r="G32" s="8"/>
      <c r="H32" s="8"/>
      <c r="I32" s="8"/>
      <c r="J32" s="8"/>
      <c r="K32" s="8"/>
      <c r="L32" s="8"/>
      <c r="M32" s="8"/>
      <c r="N32" s="8"/>
      <c r="O32" s="8"/>
      <c r="P32" s="158"/>
      <c r="Q32" s="158"/>
      <c r="R32" s="158"/>
      <c r="S32" s="158"/>
      <c r="T32" s="158"/>
      <c r="U32" s="158"/>
      <c r="V32" s="158"/>
    </row>
    <row r="33" spans="1:22" x14ac:dyDescent="0.35">
      <c r="A33" s="8"/>
      <c r="B33" s="8"/>
      <c r="C33" s="8"/>
      <c r="D33" s="8"/>
      <c r="E33" s="8"/>
      <c r="F33" s="8"/>
      <c r="G33" s="8"/>
      <c r="H33" s="8"/>
      <c r="I33" s="8"/>
      <c r="J33" s="8"/>
      <c r="K33" s="8"/>
      <c r="L33" s="8"/>
      <c r="M33" s="8"/>
      <c r="N33" s="8"/>
      <c r="O33" s="8"/>
      <c r="P33" s="158"/>
      <c r="Q33" s="158"/>
      <c r="R33" s="158"/>
      <c r="S33" s="158"/>
      <c r="T33" s="158"/>
      <c r="U33" s="158"/>
      <c r="V33" s="158"/>
    </row>
    <row r="34" spans="1:22" x14ac:dyDescent="0.35">
      <c r="A34" s="8"/>
      <c r="B34" s="8"/>
      <c r="C34" s="8"/>
      <c r="D34" s="8"/>
      <c r="E34" s="8"/>
      <c r="F34" s="8"/>
      <c r="G34" s="8"/>
      <c r="H34" s="8"/>
      <c r="I34" s="8"/>
      <c r="J34" s="8"/>
      <c r="K34" s="8"/>
      <c r="L34" s="8"/>
      <c r="M34" s="8"/>
      <c r="N34" s="8"/>
      <c r="O34" s="8"/>
      <c r="P34" s="158"/>
      <c r="Q34" s="158"/>
      <c r="R34" s="158"/>
      <c r="S34" s="158"/>
      <c r="T34" s="158"/>
      <c r="U34" s="158"/>
      <c r="V34" s="158"/>
    </row>
    <row r="35" spans="1:22" x14ac:dyDescent="0.35">
      <c r="A35" s="8"/>
      <c r="B35" s="8"/>
      <c r="C35" s="8"/>
      <c r="D35" s="8"/>
      <c r="E35" s="8"/>
      <c r="F35" s="8"/>
      <c r="G35" s="8"/>
      <c r="H35" s="8"/>
      <c r="I35" s="8"/>
      <c r="J35" s="8"/>
      <c r="K35" s="8"/>
      <c r="L35" s="8"/>
      <c r="M35" s="8"/>
      <c r="N35" s="8"/>
      <c r="O35" s="8"/>
      <c r="P35" s="158"/>
      <c r="Q35" s="158"/>
      <c r="R35" s="158"/>
      <c r="S35" s="158"/>
      <c r="T35" s="158"/>
      <c r="U35" s="158"/>
      <c r="V35" s="158"/>
    </row>
    <row r="36" spans="1:22" x14ac:dyDescent="0.35">
      <c r="A36" s="8"/>
      <c r="B36" s="8"/>
      <c r="C36" s="8"/>
      <c r="D36" s="8"/>
      <c r="E36" s="8"/>
      <c r="F36" s="8"/>
      <c r="G36" s="8"/>
      <c r="H36" s="8"/>
      <c r="I36" s="8"/>
      <c r="J36" s="8"/>
      <c r="K36" s="8"/>
      <c r="L36" s="8"/>
      <c r="M36" s="8"/>
      <c r="N36" s="8"/>
      <c r="O36" s="8"/>
      <c r="P36" s="158"/>
      <c r="Q36" s="158"/>
      <c r="R36" s="158"/>
      <c r="S36" s="158"/>
      <c r="T36" s="158"/>
      <c r="U36" s="158"/>
      <c r="V36" s="158"/>
    </row>
    <row r="37" spans="1:22" x14ac:dyDescent="0.35">
      <c r="A37" s="8"/>
      <c r="B37" s="8"/>
      <c r="C37" s="8"/>
      <c r="D37" s="8"/>
      <c r="E37" s="8"/>
      <c r="F37" s="8"/>
      <c r="G37" s="8"/>
      <c r="H37" s="8"/>
      <c r="I37" s="8"/>
      <c r="J37" s="8"/>
      <c r="K37" s="8"/>
      <c r="L37" s="8"/>
      <c r="M37" s="8"/>
      <c r="N37" s="8"/>
      <c r="O37" s="8"/>
      <c r="P37" s="158"/>
      <c r="Q37" s="158"/>
      <c r="R37" s="158"/>
      <c r="S37" s="158"/>
      <c r="T37" s="158"/>
      <c r="U37" s="158"/>
      <c r="V37" s="158"/>
    </row>
    <row r="38" spans="1:22" x14ac:dyDescent="0.35">
      <c r="A38" s="8"/>
      <c r="B38" s="8"/>
      <c r="C38" s="8"/>
      <c r="D38" s="8"/>
      <c r="E38" s="8"/>
      <c r="F38" s="8"/>
      <c r="G38" s="8"/>
      <c r="H38" s="8"/>
      <c r="I38" s="8"/>
      <c r="J38" s="8"/>
      <c r="K38" s="8"/>
      <c r="L38" s="8"/>
      <c r="M38" s="8"/>
      <c r="N38" s="8"/>
      <c r="O38" s="8"/>
      <c r="P38" s="158"/>
      <c r="Q38" s="158"/>
      <c r="R38" s="158"/>
      <c r="S38" s="158"/>
      <c r="T38" s="158"/>
      <c r="U38" s="158"/>
      <c r="V38" s="158"/>
    </row>
    <row r="39" spans="1:22" x14ac:dyDescent="0.35">
      <c r="A39" s="8"/>
      <c r="B39" s="8"/>
      <c r="C39" s="8"/>
      <c r="D39" s="8"/>
      <c r="E39" s="8"/>
      <c r="F39" s="8"/>
      <c r="G39" s="8"/>
      <c r="H39" s="8"/>
      <c r="I39" s="8"/>
      <c r="J39" s="8"/>
      <c r="K39" s="8"/>
      <c r="L39" s="8"/>
      <c r="M39" s="8"/>
      <c r="N39" s="8"/>
      <c r="O39" s="8"/>
      <c r="P39" s="158"/>
      <c r="Q39" s="158"/>
      <c r="R39" s="158"/>
      <c r="S39" s="158"/>
      <c r="T39" s="158"/>
      <c r="U39" s="158"/>
      <c r="V39" s="158"/>
    </row>
    <row r="40" spans="1:22" x14ac:dyDescent="0.35">
      <c r="A40" s="8"/>
      <c r="B40" s="8"/>
      <c r="C40" s="8"/>
      <c r="D40" s="8"/>
      <c r="E40" s="8"/>
      <c r="F40" s="8"/>
      <c r="G40" s="8"/>
      <c r="H40" s="8"/>
      <c r="I40" s="8"/>
      <c r="J40" s="8"/>
      <c r="K40" s="8"/>
      <c r="L40" s="8"/>
      <c r="M40" s="8"/>
      <c r="N40" s="8"/>
      <c r="O40" s="8"/>
      <c r="P40" s="158"/>
      <c r="Q40" s="158"/>
      <c r="R40" s="158"/>
      <c r="S40" s="158"/>
      <c r="T40" s="158"/>
      <c r="U40" s="158"/>
      <c r="V40" s="158"/>
    </row>
    <row r="41" spans="1:22" x14ac:dyDescent="0.35">
      <c r="A41" s="8"/>
      <c r="B41" s="8"/>
      <c r="C41" s="8"/>
      <c r="D41" s="8"/>
      <c r="E41" s="8"/>
      <c r="F41" s="8"/>
      <c r="G41" s="8"/>
      <c r="H41" s="8"/>
      <c r="I41" s="8"/>
      <c r="J41" s="8"/>
      <c r="K41" s="8"/>
      <c r="L41" s="8"/>
      <c r="M41" s="8"/>
      <c r="N41" s="8"/>
      <c r="O41" s="8"/>
      <c r="P41" s="158"/>
      <c r="Q41" s="158"/>
      <c r="R41" s="158"/>
      <c r="S41" s="158"/>
      <c r="T41" s="158"/>
      <c r="U41" s="158"/>
      <c r="V41" s="158"/>
    </row>
    <row r="42" spans="1:22" x14ac:dyDescent="0.35">
      <c r="A42" s="8"/>
      <c r="B42" s="8"/>
      <c r="C42" s="8"/>
      <c r="D42" s="8"/>
      <c r="E42" s="8"/>
      <c r="F42" s="8"/>
      <c r="G42" s="8"/>
      <c r="H42" s="8"/>
      <c r="I42" s="8"/>
      <c r="J42" s="8"/>
      <c r="K42" s="8"/>
      <c r="L42" s="8"/>
      <c r="M42" s="8"/>
      <c r="N42" s="8"/>
      <c r="O42" s="8"/>
      <c r="P42" s="158"/>
      <c r="Q42" s="158"/>
      <c r="R42" s="158"/>
      <c r="S42" s="158"/>
      <c r="T42" s="158"/>
      <c r="U42" s="158"/>
      <c r="V42" s="158"/>
    </row>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sheetPr>
  <dimension ref="A1:T374"/>
  <sheetViews>
    <sheetView showGridLines="0" tabSelected="1" zoomScaleNormal="100" workbookViewId="0">
      <selection activeCell="C3" sqref="C3"/>
    </sheetView>
  </sheetViews>
  <sheetFormatPr defaultColWidth="11" defaultRowHeight="15.5" x14ac:dyDescent="0.35"/>
  <cols>
    <col min="1" max="1" width="4.33203125" customWidth="1"/>
    <col min="2" max="2" width="16.33203125" customWidth="1"/>
    <col min="3" max="3" width="18.58203125" customWidth="1"/>
    <col min="4" max="4" width="12.33203125" bestFit="1" customWidth="1"/>
    <col min="5" max="5" width="14.08203125" customWidth="1"/>
    <col min="6" max="6" width="13.25" customWidth="1"/>
    <col min="7" max="7" width="11" customWidth="1"/>
    <col min="8" max="8" width="13.83203125" customWidth="1"/>
    <col min="9" max="9" width="12.08203125" customWidth="1"/>
  </cols>
  <sheetData>
    <row r="1" spans="1:18" s="9" customFormat="1" x14ac:dyDescent="0.35">
      <c r="A1" s="255"/>
    </row>
    <row r="2" spans="1:18" s="9" customFormat="1" ht="29" x14ac:dyDescent="0.45">
      <c r="B2" s="256" t="s">
        <v>0</v>
      </c>
      <c r="C2" s="257"/>
      <c r="D2" s="258"/>
      <c r="E2" s="258"/>
      <c r="F2" s="258"/>
      <c r="G2" s="258"/>
      <c r="H2" s="258"/>
      <c r="K2" s="255"/>
    </row>
    <row r="3" spans="1:18" x14ac:dyDescent="0.35">
      <c r="A3" s="13"/>
      <c r="B3" t="s">
        <v>1</v>
      </c>
      <c r="C3" s="644">
        <v>43738</v>
      </c>
      <c r="D3" s="13"/>
      <c r="E3" s="13"/>
      <c r="F3" s="13"/>
      <c r="G3" s="13"/>
      <c r="H3" s="13"/>
      <c r="I3" s="13"/>
      <c r="J3" s="13"/>
      <c r="K3" s="13"/>
      <c r="L3" s="13"/>
    </row>
    <row r="4" spans="1:18" x14ac:dyDescent="0.35">
      <c r="A4" s="13"/>
      <c r="B4" t="s">
        <v>2</v>
      </c>
      <c r="C4" s="12"/>
      <c r="D4" s="13"/>
      <c r="E4" s="13"/>
      <c r="F4" s="13"/>
      <c r="G4" s="13"/>
      <c r="H4" s="13"/>
      <c r="I4" s="13"/>
      <c r="J4" s="13"/>
      <c r="K4" s="13"/>
      <c r="L4" s="13"/>
    </row>
    <row r="5" spans="1:18" ht="34.9" customHeight="1" x14ac:dyDescent="0.35">
      <c r="A5" s="13"/>
      <c r="B5" s="649" t="s">
        <v>3</v>
      </c>
      <c r="C5" s="649"/>
      <c r="D5" s="649"/>
      <c r="E5" s="649"/>
      <c r="F5" s="649"/>
      <c r="G5" s="649"/>
      <c r="H5" s="649"/>
      <c r="I5" s="649"/>
      <c r="J5" s="649"/>
      <c r="K5" s="649"/>
      <c r="L5" s="649"/>
      <c r="M5" s="649"/>
      <c r="N5" s="649"/>
    </row>
    <row r="6" spans="1:18" s="253" customFormat="1" ht="17.5" x14ac:dyDescent="0.35">
      <c r="B6" s="254" t="s">
        <v>4</v>
      </c>
    </row>
    <row r="7" spans="1:18" x14ac:dyDescent="0.35">
      <c r="A7" s="13"/>
      <c r="B7" s="375" t="s">
        <v>5</v>
      </c>
      <c r="C7" s="262"/>
      <c r="D7" s="263"/>
      <c r="E7" s="263"/>
      <c r="F7" s="263"/>
      <c r="G7" s="184"/>
      <c r="H7" s="374" t="s">
        <v>6</v>
      </c>
      <c r="I7" s="260"/>
      <c r="J7" s="260"/>
      <c r="K7" s="260"/>
      <c r="M7" s="260"/>
      <c r="N7" s="13"/>
      <c r="O7" s="13"/>
      <c r="P7" s="13"/>
      <c r="Q7" s="13"/>
      <c r="R7" s="13"/>
    </row>
    <row r="8" spans="1:18" x14ac:dyDescent="0.35">
      <c r="A8" s="13"/>
      <c r="B8" s="374" t="s">
        <v>7</v>
      </c>
      <c r="C8" s="262"/>
      <c r="D8" s="263"/>
      <c r="E8" s="263"/>
      <c r="F8" s="263"/>
      <c r="G8" s="184"/>
      <c r="H8" s="374" t="s">
        <v>8</v>
      </c>
      <c r="I8" s="260"/>
      <c r="J8" s="260"/>
      <c r="K8" s="260"/>
      <c r="M8" s="260"/>
      <c r="N8" s="13"/>
      <c r="O8" s="13"/>
      <c r="P8" s="13"/>
      <c r="Q8" s="13"/>
      <c r="R8" s="13"/>
    </row>
    <row r="9" spans="1:18" x14ac:dyDescent="0.35">
      <c r="A9" s="13"/>
      <c r="B9" s="376" t="s">
        <v>9</v>
      </c>
      <c r="C9" s="262"/>
      <c r="D9" s="263"/>
      <c r="E9" s="263"/>
      <c r="F9" s="263"/>
      <c r="G9" s="184"/>
      <c r="H9" s="374" t="s">
        <v>10</v>
      </c>
      <c r="I9" s="260"/>
      <c r="J9" s="260"/>
      <c r="K9" s="260"/>
      <c r="M9" s="260"/>
      <c r="N9" s="13"/>
      <c r="O9" s="13"/>
      <c r="P9" s="13"/>
      <c r="Q9" s="13"/>
      <c r="R9" s="13"/>
    </row>
    <row r="10" spans="1:18" x14ac:dyDescent="0.35">
      <c r="A10" s="13"/>
      <c r="B10" s="375" t="s">
        <v>11</v>
      </c>
      <c r="C10" s="262"/>
      <c r="D10" s="263"/>
      <c r="E10" s="263"/>
      <c r="F10" s="263"/>
      <c r="G10" s="184"/>
      <c r="H10" s="374" t="s">
        <v>12</v>
      </c>
      <c r="I10" s="260"/>
      <c r="J10" s="260"/>
      <c r="K10" s="260"/>
      <c r="M10" s="260"/>
      <c r="N10" s="13"/>
      <c r="O10" s="13"/>
      <c r="P10" s="13"/>
      <c r="Q10" s="13"/>
      <c r="R10" s="13"/>
    </row>
    <row r="11" spans="1:18" x14ac:dyDescent="0.35">
      <c r="A11" s="13"/>
      <c r="B11" s="374" t="s">
        <v>13</v>
      </c>
      <c r="C11" s="262"/>
      <c r="D11" s="263"/>
      <c r="E11" s="263"/>
      <c r="F11" s="263"/>
      <c r="G11" s="184"/>
      <c r="H11" s="374" t="s">
        <v>14</v>
      </c>
      <c r="I11" s="260"/>
      <c r="J11" s="260"/>
      <c r="K11" s="260"/>
      <c r="L11" s="260"/>
      <c r="M11" s="260"/>
      <c r="N11" s="13"/>
      <c r="O11" s="13"/>
      <c r="P11" s="13"/>
      <c r="Q11" s="13"/>
      <c r="R11" s="13"/>
    </row>
    <row r="12" spans="1:18" x14ac:dyDescent="0.35">
      <c r="A12" s="13"/>
      <c r="B12" s="374" t="s">
        <v>15</v>
      </c>
      <c r="C12" s="262"/>
      <c r="D12" s="263"/>
      <c r="E12" s="263"/>
      <c r="F12" s="263"/>
      <c r="G12" s="184"/>
      <c r="H12" s="374" t="s">
        <v>16</v>
      </c>
      <c r="I12" s="260"/>
      <c r="J12" s="260"/>
      <c r="K12" s="260"/>
      <c r="L12" s="260"/>
      <c r="M12" s="260"/>
      <c r="N12" s="13"/>
      <c r="O12" s="13"/>
      <c r="P12" s="13"/>
      <c r="Q12" s="13"/>
      <c r="R12" s="13"/>
    </row>
    <row r="13" spans="1:18" x14ac:dyDescent="0.35">
      <c r="A13" s="13"/>
      <c r="B13" s="374" t="s">
        <v>17</v>
      </c>
      <c r="C13" s="262"/>
      <c r="D13" s="263"/>
      <c r="E13" s="263"/>
      <c r="F13" s="263"/>
      <c r="G13" s="184"/>
      <c r="H13" s="183" t="s">
        <v>18</v>
      </c>
      <c r="I13" s="260"/>
      <c r="J13" s="260"/>
      <c r="K13" s="260"/>
      <c r="L13" s="260"/>
      <c r="M13" s="260"/>
      <c r="N13" s="13"/>
      <c r="O13" s="13"/>
      <c r="P13" s="13"/>
      <c r="Q13" s="13"/>
      <c r="R13" s="13"/>
    </row>
    <row r="14" spans="1:18" x14ac:dyDescent="0.35">
      <c r="A14" s="13"/>
      <c r="B14" s="374" t="s">
        <v>19</v>
      </c>
      <c r="C14" s="262"/>
      <c r="D14" s="263"/>
      <c r="E14" s="263"/>
      <c r="F14" s="263"/>
      <c r="G14" s="184"/>
      <c r="H14" s="374" t="s">
        <v>20</v>
      </c>
      <c r="I14" s="260"/>
      <c r="J14" s="260"/>
      <c r="K14" s="260"/>
      <c r="L14" s="260"/>
      <c r="M14" s="260"/>
      <c r="N14" s="13"/>
      <c r="O14" s="13"/>
      <c r="P14" s="13"/>
      <c r="Q14" s="13"/>
      <c r="R14" s="13"/>
    </row>
    <row r="15" spans="1:18" x14ac:dyDescent="0.35">
      <c r="A15" s="13"/>
      <c r="B15" s="374" t="s">
        <v>21</v>
      </c>
      <c r="C15" s="262"/>
      <c r="D15" s="263"/>
      <c r="E15" s="263"/>
      <c r="F15" s="263"/>
      <c r="G15" s="184"/>
      <c r="H15" s="374" t="s">
        <v>22</v>
      </c>
      <c r="I15" s="260"/>
      <c r="J15" s="260"/>
      <c r="K15" s="260"/>
      <c r="L15" s="260"/>
      <c r="M15" s="260"/>
      <c r="N15" s="13"/>
      <c r="O15" s="13"/>
      <c r="P15" s="13"/>
      <c r="Q15" s="13"/>
      <c r="R15" s="13"/>
    </row>
    <row r="16" spans="1:18" x14ac:dyDescent="0.35">
      <c r="A16" s="13"/>
      <c r="B16" s="374" t="s">
        <v>23</v>
      </c>
      <c r="C16" s="262"/>
      <c r="D16" s="263"/>
      <c r="E16" s="263"/>
      <c r="F16" s="263"/>
      <c r="G16" s="184"/>
      <c r="H16" s="374" t="s">
        <v>24</v>
      </c>
      <c r="I16" s="260"/>
      <c r="J16" s="260"/>
      <c r="K16" s="260"/>
      <c r="L16" s="260"/>
      <c r="M16" s="260"/>
      <c r="N16" s="13"/>
      <c r="O16" s="13"/>
      <c r="P16" s="13"/>
      <c r="Q16" s="13"/>
      <c r="R16" s="13"/>
    </row>
    <row r="17" spans="1:18" x14ac:dyDescent="0.35">
      <c r="A17" s="13"/>
      <c r="B17" s="374" t="s">
        <v>25</v>
      </c>
      <c r="C17" s="262"/>
      <c r="D17" s="263"/>
      <c r="E17" s="263"/>
      <c r="F17" s="263"/>
      <c r="G17" s="184"/>
      <c r="H17" s="376" t="s">
        <v>26</v>
      </c>
      <c r="I17" s="260"/>
      <c r="J17" s="260"/>
      <c r="K17" s="260"/>
      <c r="L17" s="260"/>
      <c r="M17" s="260"/>
      <c r="N17" s="13"/>
      <c r="O17" s="13"/>
      <c r="P17" s="13"/>
      <c r="Q17" s="13"/>
      <c r="R17" s="13"/>
    </row>
    <row r="18" spans="1:18" x14ac:dyDescent="0.35">
      <c r="A18" s="13"/>
      <c r="B18" s="374" t="s">
        <v>27</v>
      </c>
      <c r="C18" s="262"/>
      <c r="D18" s="263"/>
      <c r="E18" s="263"/>
      <c r="F18" s="263"/>
      <c r="G18" s="184"/>
      <c r="H18" s="374" t="s">
        <v>28</v>
      </c>
      <c r="I18" s="260"/>
      <c r="J18" s="260"/>
      <c r="K18" s="260"/>
      <c r="L18" s="260"/>
      <c r="M18" s="260"/>
      <c r="N18" s="13"/>
      <c r="O18" s="13"/>
      <c r="P18" s="13"/>
      <c r="Q18" s="13"/>
      <c r="R18" s="13"/>
    </row>
    <row r="19" spans="1:18" x14ac:dyDescent="0.35">
      <c r="A19" s="13"/>
      <c r="B19" s="374" t="s">
        <v>29</v>
      </c>
      <c r="C19" s="262"/>
      <c r="D19" s="263"/>
      <c r="E19" s="263"/>
      <c r="F19" s="263"/>
      <c r="G19" s="184"/>
      <c r="H19" s="189" t="s">
        <v>30</v>
      </c>
      <c r="I19" s="260"/>
      <c r="J19" s="260"/>
      <c r="K19" s="260"/>
      <c r="L19" s="260"/>
      <c r="M19" s="260"/>
      <c r="N19" s="13"/>
      <c r="O19" s="13"/>
      <c r="P19" s="13"/>
      <c r="Q19" s="13"/>
      <c r="R19" s="13"/>
    </row>
    <row r="20" spans="1:18" ht="16" x14ac:dyDescent="0.35">
      <c r="A20" s="13"/>
      <c r="C20" s="259"/>
      <c r="D20" s="260"/>
      <c r="E20" s="260"/>
      <c r="F20" s="260"/>
      <c r="G20" s="261"/>
      <c r="H20" s="260"/>
      <c r="I20" s="260"/>
      <c r="J20" s="260"/>
      <c r="K20" s="260"/>
      <c r="L20" s="260"/>
      <c r="M20" s="260"/>
      <c r="N20" s="13"/>
      <c r="O20" s="13"/>
      <c r="P20" s="13"/>
      <c r="Q20" s="13"/>
      <c r="R20" s="13"/>
    </row>
    <row r="21" spans="1:18" x14ac:dyDescent="0.35">
      <c r="A21" s="13"/>
      <c r="B21" s="12"/>
      <c r="C21" s="12"/>
      <c r="D21" s="13"/>
      <c r="E21" s="13"/>
      <c r="F21" s="13"/>
      <c r="G21" s="13"/>
      <c r="H21" s="13"/>
      <c r="I21" s="13"/>
      <c r="J21" s="13"/>
      <c r="K21" s="13"/>
      <c r="L21" s="13"/>
      <c r="N21" s="13"/>
      <c r="O21" s="13"/>
      <c r="P21" s="13"/>
      <c r="Q21" s="13"/>
      <c r="R21" s="13"/>
    </row>
    <row r="22" spans="1:18" s="9" customFormat="1" ht="21" x14ac:dyDescent="0.35">
      <c r="B22" s="14" t="s">
        <v>5</v>
      </c>
      <c r="C22" s="10"/>
    </row>
    <row r="23" spans="1:18" s="260" customFormat="1" ht="7.15" customHeight="1" x14ac:dyDescent="0.35">
      <c r="B23" s="265"/>
      <c r="C23" s="266"/>
    </row>
    <row r="24" spans="1:18" s="9" customFormat="1" x14ac:dyDescent="0.35">
      <c r="B24" s="394" t="s">
        <v>31</v>
      </c>
      <c r="C24" s="11"/>
    </row>
    <row r="25" spans="1:18" ht="5.5" customHeight="1" thickBot="1" x14ac:dyDescent="0.4">
      <c r="A25" s="13"/>
      <c r="B25" s="156"/>
      <c r="C25" s="156"/>
      <c r="D25" s="13"/>
      <c r="E25" s="13"/>
      <c r="F25" s="13"/>
      <c r="G25" s="13"/>
      <c r="H25" s="13"/>
      <c r="I25" s="13"/>
      <c r="J25" s="13"/>
      <c r="K25" s="13"/>
      <c r="L25" s="13"/>
      <c r="N25" s="13"/>
      <c r="O25" s="13"/>
      <c r="P25" s="13"/>
      <c r="Q25" s="13"/>
      <c r="R25" s="13"/>
    </row>
    <row r="26" spans="1:18" ht="32" x14ac:dyDescent="0.35">
      <c r="A26" s="13"/>
      <c r="B26" s="627" t="s">
        <v>32</v>
      </c>
      <c r="C26" s="267"/>
      <c r="D26" s="268" t="s">
        <v>33</v>
      </c>
      <c r="E26" s="268" t="s">
        <v>34</v>
      </c>
      <c r="F26" s="268" t="s">
        <v>35</v>
      </c>
      <c r="G26" s="268" t="s">
        <v>36</v>
      </c>
      <c r="H26" s="268" t="s">
        <v>37</v>
      </c>
      <c r="I26" s="395" t="s">
        <v>38</v>
      </c>
      <c r="J26" s="268" t="s">
        <v>39</v>
      </c>
      <c r="K26" s="157"/>
      <c r="L26" s="13"/>
      <c r="N26" s="13"/>
      <c r="O26" s="13"/>
      <c r="P26" s="13"/>
      <c r="Q26" s="13"/>
      <c r="R26" s="13"/>
    </row>
    <row r="27" spans="1:18" ht="16" x14ac:dyDescent="0.35">
      <c r="A27" s="13"/>
      <c r="B27" s="662" t="s">
        <v>40</v>
      </c>
      <c r="C27" s="663"/>
      <c r="D27" s="536">
        <v>2045968.3640000001</v>
      </c>
      <c r="E27" s="536">
        <v>2588014.7340000002</v>
      </c>
      <c r="F27" s="536">
        <v>2008811</v>
      </c>
      <c r="G27" s="269">
        <v>2574375</v>
      </c>
      <c r="H27" s="269">
        <v>2534000</v>
      </c>
      <c r="I27" s="269">
        <v>2349000</v>
      </c>
      <c r="J27" s="269">
        <v>990000</v>
      </c>
      <c r="L27" s="13"/>
      <c r="N27" s="13"/>
      <c r="O27" s="13"/>
      <c r="P27" s="13"/>
      <c r="Q27" s="13"/>
      <c r="R27" s="13"/>
    </row>
    <row r="28" spans="1:18" ht="16" x14ac:dyDescent="0.35">
      <c r="A28" s="13"/>
      <c r="B28" s="662" t="s">
        <v>41</v>
      </c>
      <c r="C28" s="663"/>
      <c r="D28" s="536">
        <v>1739304</v>
      </c>
      <c r="E28" s="536">
        <v>1739304</v>
      </c>
      <c r="F28" s="536">
        <v>1642576.0098880001</v>
      </c>
      <c r="G28" s="269">
        <v>1653418</v>
      </c>
      <c r="H28" s="269">
        <v>1609000</v>
      </c>
      <c r="I28" s="269">
        <v>1491000</v>
      </c>
      <c r="J28" s="269">
        <v>1380000</v>
      </c>
      <c r="L28" s="13"/>
      <c r="N28" s="13"/>
      <c r="O28" s="13"/>
      <c r="P28" s="13"/>
      <c r="Q28" s="13"/>
      <c r="R28" s="13"/>
    </row>
    <row r="29" spans="1:18" ht="16" x14ac:dyDescent="0.35">
      <c r="A29" s="13"/>
      <c r="B29" s="662" t="s">
        <v>42</v>
      </c>
      <c r="C29" s="663"/>
      <c r="D29" s="536">
        <v>1342060</v>
      </c>
      <c r="E29" s="536">
        <v>1393019.798</v>
      </c>
      <c r="F29" s="536">
        <v>1315859</v>
      </c>
      <c r="G29" s="269">
        <v>1380864</v>
      </c>
      <c r="H29" s="269">
        <v>1425000</v>
      </c>
      <c r="I29" s="269">
        <v>1389000</v>
      </c>
      <c r="J29" s="269">
        <v>459000</v>
      </c>
      <c r="L29" s="386"/>
      <c r="M29" s="13"/>
      <c r="N29" s="13"/>
      <c r="O29" s="13"/>
      <c r="P29" s="13"/>
      <c r="Q29" s="13"/>
      <c r="R29" s="13"/>
    </row>
    <row r="30" spans="1:18" ht="16" x14ac:dyDescent="0.35">
      <c r="A30" s="13"/>
      <c r="B30" s="662" t="s">
        <v>43</v>
      </c>
      <c r="C30" s="663"/>
      <c r="D30" s="537">
        <v>0</v>
      </c>
      <c r="E30" s="537">
        <v>4693.8425699999998</v>
      </c>
      <c r="F30" s="537">
        <v>0</v>
      </c>
      <c r="G30" s="270">
        <v>4719</v>
      </c>
      <c r="H30" s="270">
        <v>116610</v>
      </c>
      <c r="I30" s="269">
        <v>173920</v>
      </c>
      <c r="J30" s="269">
        <v>3000</v>
      </c>
      <c r="K30" s="13"/>
      <c r="N30" s="13"/>
      <c r="O30" s="13"/>
      <c r="P30" s="13"/>
      <c r="Q30" s="13"/>
      <c r="R30" s="13"/>
    </row>
    <row r="31" spans="1:18" ht="16" x14ac:dyDescent="0.35">
      <c r="A31" s="13"/>
      <c r="B31" s="662" t="s">
        <v>44</v>
      </c>
      <c r="C31" s="663"/>
      <c r="D31" s="537">
        <v>2594.951</v>
      </c>
      <c r="E31" s="537">
        <v>4140.2627190000003</v>
      </c>
      <c r="F31" s="537">
        <v>2583.538</v>
      </c>
      <c r="G31" s="270">
        <v>4131</v>
      </c>
      <c r="H31" s="270">
        <v>4500</v>
      </c>
      <c r="I31" s="269">
        <v>4220</v>
      </c>
      <c r="J31" s="269">
        <v>11000</v>
      </c>
      <c r="K31" s="13"/>
      <c r="N31" s="13"/>
      <c r="O31" s="13"/>
      <c r="P31" s="13"/>
      <c r="Q31" s="13"/>
      <c r="R31" s="13"/>
    </row>
    <row r="32" spans="1:18" ht="16" x14ac:dyDescent="0.35">
      <c r="A32" s="13"/>
      <c r="B32" s="660" t="s">
        <v>45</v>
      </c>
      <c r="C32" s="661"/>
      <c r="D32" s="623">
        <f>I35</f>
        <v>10562</v>
      </c>
      <c r="E32" s="623">
        <f>I35</f>
        <v>10562</v>
      </c>
      <c r="F32" s="623">
        <v>0</v>
      </c>
      <c r="G32" s="271">
        <f>(867000*0.000453592)+8863</f>
        <v>9256.2642639999995</v>
      </c>
      <c r="H32" s="271">
        <v>7474</v>
      </c>
      <c r="I32" s="271">
        <v>8114</v>
      </c>
      <c r="J32" s="271">
        <v>6215</v>
      </c>
      <c r="N32" s="13"/>
      <c r="O32" s="13"/>
      <c r="P32" s="13"/>
      <c r="Q32" s="13"/>
      <c r="R32" s="13"/>
    </row>
    <row r="33" spans="1:18" ht="16" thickBot="1" x14ac:dyDescent="0.4">
      <c r="A33" s="13"/>
      <c r="B33" s="156"/>
      <c r="C33" s="156"/>
      <c r="D33" s="13"/>
      <c r="E33" s="13"/>
      <c r="F33" s="13"/>
      <c r="G33" s="13"/>
      <c r="H33" s="13"/>
      <c r="I33" s="13"/>
      <c r="J33" s="13"/>
      <c r="N33" s="13"/>
      <c r="O33" s="13"/>
      <c r="P33" s="13"/>
      <c r="Q33" s="13"/>
      <c r="R33" s="13"/>
    </row>
    <row r="34" spans="1:18" ht="78" thickBot="1" x14ac:dyDescent="0.4">
      <c r="A34" s="13"/>
      <c r="B34" s="626" t="s">
        <v>46</v>
      </c>
      <c r="C34" s="626" t="s">
        <v>47</v>
      </c>
      <c r="D34" s="626" t="s">
        <v>40</v>
      </c>
      <c r="E34" s="626" t="s">
        <v>41</v>
      </c>
      <c r="F34" s="626" t="s">
        <v>42</v>
      </c>
      <c r="G34" s="626" t="s">
        <v>43</v>
      </c>
      <c r="H34" s="626" t="s">
        <v>44</v>
      </c>
      <c r="I34" s="396" t="s">
        <v>48</v>
      </c>
      <c r="M34" s="13"/>
      <c r="N34" s="13"/>
      <c r="O34" s="13"/>
      <c r="P34" s="13"/>
      <c r="Q34" s="13"/>
      <c r="R34" s="13"/>
    </row>
    <row r="35" spans="1:18" ht="16" x14ac:dyDescent="0.35">
      <c r="A35" s="13"/>
      <c r="B35" s="281" t="s">
        <v>33</v>
      </c>
      <c r="C35" s="281" t="s">
        <v>32</v>
      </c>
      <c r="D35" s="283">
        <f>SUM(D36:D39)</f>
        <v>2127424.3059371025</v>
      </c>
      <c r="E35" s="283">
        <f t="shared" ref="E35:I35" si="0">SUM(E36:E39)</f>
        <v>1739303.8011431424</v>
      </c>
      <c r="F35" s="283">
        <f t="shared" si="0"/>
        <v>1342060.0397510198</v>
      </c>
      <c r="G35" s="283">
        <f t="shared" si="0"/>
        <v>0</v>
      </c>
      <c r="H35" s="283">
        <f t="shared" si="0"/>
        <v>2594951.2301522796</v>
      </c>
      <c r="I35" s="283">
        <f t="shared" si="0"/>
        <v>10562</v>
      </c>
      <c r="K35" s="13"/>
      <c r="L35" s="13"/>
      <c r="M35" s="13"/>
      <c r="N35" s="13"/>
      <c r="O35" s="13"/>
      <c r="P35" s="13"/>
      <c r="Q35" s="13"/>
      <c r="R35" s="13"/>
    </row>
    <row r="36" spans="1:18" ht="16" x14ac:dyDescent="0.35">
      <c r="A36" s="13"/>
      <c r="B36" s="273"/>
      <c r="C36" s="275" t="s">
        <v>49</v>
      </c>
      <c r="D36" s="279">
        <v>2045968.3639511203</v>
      </c>
      <c r="E36" s="279">
        <v>1739303.8011431424</v>
      </c>
      <c r="F36" s="279">
        <v>1342060.0397510198</v>
      </c>
      <c r="G36" s="279">
        <v>0</v>
      </c>
      <c r="H36" s="279">
        <v>2594951.2301522796</v>
      </c>
      <c r="I36" s="279">
        <f>-'Better Planet'!E425</f>
        <v>10562</v>
      </c>
      <c r="K36" s="13"/>
      <c r="L36" s="13"/>
      <c r="M36" s="13"/>
      <c r="N36" s="13"/>
      <c r="O36" s="13"/>
      <c r="P36" s="13"/>
      <c r="Q36" s="13"/>
      <c r="R36" s="13"/>
    </row>
    <row r="37" spans="1:18" ht="16" x14ac:dyDescent="0.35">
      <c r="A37" s="13"/>
      <c r="B37" s="273"/>
      <c r="C37" s="275" t="s">
        <v>50</v>
      </c>
      <c r="D37" s="279">
        <v>0</v>
      </c>
      <c r="E37" s="279">
        <v>0</v>
      </c>
      <c r="F37" s="279">
        <v>0</v>
      </c>
      <c r="G37" s="279">
        <v>0</v>
      </c>
      <c r="H37" s="279">
        <v>0</v>
      </c>
      <c r="I37" s="279"/>
      <c r="K37" s="13"/>
      <c r="N37" s="13"/>
      <c r="O37" s="13"/>
      <c r="P37" s="13"/>
      <c r="Q37" s="13"/>
      <c r="R37" s="13"/>
    </row>
    <row r="38" spans="1:18" ht="48" x14ac:dyDescent="0.35">
      <c r="A38" s="13"/>
      <c r="B38" s="273"/>
      <c r="C38" s="275" t="s">
        <v>51</v>
      </c>
      <c r="D38" s="279">
        <v>81455.941985982106</v>
      </c>
      <c r="E38" s="279">
        <v>0</v>
      </c>
      <c r="F38" s="279">
        <v>0</v>
      </c>
      <c r="G38" s="279">
        <v>0</v>
      </c>
      <c r="H38" s="279">
        <v>0</v>
      </c>
      <c r="I38" s="279"/>
      <c r="K38" s="13"/>
      <c r="N38" s="13"/>
      <c r="O38" s="13"/>
      <c r="P38" s="13"/>
      <c r="Q38" s="13"/>
      <c r="R38" s="13"/>
    </row>
    <row r="39" spans="1:18" ht="16.5" thickBot="1" x14ac:dyDescent="0.4">
      <c r="A39" s="13"/>
      <c r="B39" s="274"/>
      <c r="C39" s="276" t="s">
        <v>52</v>
      </c>
      <c r="D39" s="280">
        <v>0</v>
      </c>
      <c r="E39" s="280">
        <v>0</v>
      </c>
      <c r="F39" s="280">
        <v>0</v>
      </c>
      <c r="G39" s="280">
        <v>0</v>
      </c>
      <c r="H39" s="280">
        <v>0</v>
      </c>
      <c r="I39" s="280">
        <v>0</v>
      </c>
      <c r="N39" s="13"/>
      <c r="O39" s="13"/>
      <c r="P39" s="13"/>
      <c r="Q39" s="13"/>
      <c r="R39" s="13"/>
    </row>
    <row r="40" spans="1:18" ht="16" x14ac:dyDescent="0.35">
      <c r="A40" s="13"/>
      <c r="B40" s="281" t="s">
        <v>34</v>
      </c>
      <c r="C40" s="281" t="s">
        <v>32</v>
      </c>
      <c r="D40" s="283">
        <f>SUM(D41:D44)</f>
        <v>2669470.6755720144</v>
      </c>
      <c r="E40" s="283">
        <f t="shared" ref="E40:I40" si="1">SUM(E41:E44)</f>
        <v>1749734.3151171342</v>
      </c>
      <c r="F40" s="283">
        <f t="shared" si="1"/>
        <v>50959.758123652973</v>
      </c>
      <c r="G40" s="283">
        <f t="shared" si="1"/>
        <v>4693.8425695203132</v>
      </c>
      <c r="H40" s="283">
        <f t="shared" si="1"/>
        <v>4140262.7187077785</v>
      </c>
      <c r="I40" s="283">
        <f t="shared" si="1"/>
        <v>10562</v>
      </c>
      <c r="K40" s="13"/>
      <c r="L40" s="13"/>
      <c r="M40" s="13"/>
      <c r="N40" s="13"/>
      <c r="O40" s="13"/>
      <c r="P40" s="13"/>
      <c r="Q40" s="13"/>
      <c r="R40" s="13"/>
    </row>
    <row r="41" spans="1:18" ht="16" x14ac:dyDescent="0.35">
      <c r="A41" s="13"/>
      <c r="B41" s="273"/>
      <c r="C41" s="275" t="s">
        <v>49</v>
      </c>
      <c r="D41" s="279">
        <v>2045968.3639511203</v>
      </c>
      <c r="E41" s="279">
        <v>1739303.8011431424</v>
      </c>
      <c r="F41" s="279">
        <v>50959.758123652973</v>
      </c>
      <c r="G41" s="279">
        <v>0</v>
      </c>
      <c r="H41" s="279">
        <v>2594951.2301522796</v>
      </c>
      <c r="I41" s="279">
        <f>-'Better Planet'!E425</f>
        <v>10562</v>
      </c>
      <c r="K41" s="13"/>
      <c r="L41" s="13"/>
      <c r="M41" s="13"/>
      <c r="N41" s="13"/>
      <c r="O41" s="13"/>
      <c r="P41" s="13"/>
      <c r="Q41" s="13"/>
      <c r="R41" s="13"/>
    </row>
    <row r="42" spans="1:18" ht="16" x14ac:dyDescent="0.35">
      <c r="A42" s="13"/>
      <c r="B42" s="273"/>
      <c r="C42" s="275" t="s">
        <v>50</v>
      </c>
      <c r="D42" s="279">
        <v>542046.369634912</v>
      </c>
      <c r="E42" s="279">
        <v>10430.51397399177</v>
      </c>
      <c r="F42" s="279"/>
      <c r="G42" s="279">
        <v>0</v>
      </c>
      <c r="H42" s="279">
        <v>1545311.4885554989</v>
      </c>
      <c r="I42" s="279"/>
      <c r="K42" s="13"/>
      <c r="N42" s="13"/>
      <c r="O42" s="13"/>
      <c r="P42" s="13"/>
      <c r="Q42" s="13"/>
      <c r="R42" s="13"/>
    </row>
    <row r="43" spans="1:18" ht="48" x14ac:dyDescent="0.35">
      <c r="A43" s="13"/>
      <c r="B43" s="273"/>
      <c r="C43" s="275" t="s">
        <v>51</v>
      </c>
      <c r="D43" s="279">
        <v>81455.941985982106</v>
      </c>
      <c r="E43" s="279">
        <v>0</v>
      </c>
      <c r="F43" s="279">
        <v>0</v>
      </c>
      <c r="G43" s="279">
        <v>0</v>
      </c>
      <c r="H43" s="279">
        <v>0</v>
      </c>
      <c r="I43" s="279">
        <v>0</v>
      </c>
      <c r="K43" s="13"/>
      <c r="N43" s="13"/>
      <c r="O43" s="13"/>
      <c r="P43" s="13"/>
      <c r="Q43" s="13"/>
      <c r="R43" s="13"/>
    </row>
    <row r="44" spans="1:18" ht="16.5" thickBot="1" x14ac:dyDescent="0.4">
      <c r="A44" s="13"/>
      <c r="B44" s="274"/>
      <c r="C44" s="276" t="s">
        <v>52</v>
      </c>
      <c r="D44" s="280">
        <v>0</v>
      </c>
      <c r="E44" s="280">
        <v>0</v>
      </c>
      <c r="F44" s="280">
        <v>0</v>
      </c>
      <c r="G44" s="280">
        <v>4693.8425695203132</v>
      </c>
      <c r="H44" s="280">
        <v>0</v>
      </c>
      <c r="I44" s="280">
        <v>0</v>
      </c>
      <c r="N44" s="13"/>
      <c r="O44" s="13"/>
      <c r="P44" s="13"/>
      <c r="Q44" s="13"/>
      <c r="R44" s="13"/>
    </row>
    <row r="45" spans="1:18" ht="16" x14ac:dyDescent="0.35">
      <c r="A45" s="13"/>
      <c r="B45" s="281" t="s">
        <v>35</v>
      </c>
      <c r="C45" s="281" t="s">
        <v>32</v>
      </c>
      <c r="D45" s="600">
        <f>D46+D48</f>
        <v>2039116.8671622889</v>
      </c>
      <c r="E45" s="283">
        <v>1653418</v>
      </c>
      <c r="F45" s="283">
        <v>1380864</v>
      </c>
      <c r="G45" s="283">
        <v>0</v>
      </c>
      <c r="H45" s="283">
        <v>2583538</v>
      </c>
      <c r="I45" s="283"/>
      <c r="N45" s="13"/>
      <c r="O45" s="13"/>
      <c r="P45" s="13"/>
      <c r="Q45" s="13"/>
      <c r="R45" s="13"/>
    </row>
    <row r="46" spans="1:18" ht="16" x14ac:dyDescent="0.35">
      <c r="A46" s="13"/>
      <c r="B46" s="273"/>
      <c r="C46" s="275" t="s">
        <v>49</v>
      </c>
      <c r="D46" s="279">
        <v>1985347</v>
      </c>
      <c r="E46" s="279">
        <v>1653418</v>
      </c>
      <c r="F46" s="279">
        <v>1268167</v>
      </c>
      <c r="G46" s="279"/>
      <c r="H46" s="279">
        <v>2264</v>
      </c>
      <c r="I46" s="279"/>
      <c r="N46" s="13"/>
      <c r="O46" s="13"/>
      <c r="P46" s="13"/>
      <c r="Q46" s="13"/>
      <c r="R46" s="13"/>
    </row>
    <row r="47" spans="1:18" ht="16" x14ac:dyDescent="0.35">
      <c r="A47" s="13"/>
      <c r="B47" s="273"/>
      <c r="C47" s="275" t="s">
        <v>50</v>
      </c>
      <c r="D47" s="279">
        <v>0</v>
      </c>
      <c r="E47" s="279">
        <v>0</v>
      </c>
      <c r="F47" s="279">
        <v>0</v>
      </c>
      <c r="G47" s="279">
        <v>0</v>
      </c>
      <c r="H47" s="279">
        <v>0</v>
      </c>
      <c r="I47" s="279"/>
      <c r="N47" s="13"/>
      <c r="O47" s="13"/>
      <c r="P47" s="13"/>
      <c r="Q47" s="13"/>
      <c r="R47" s="13"/>
    </row>
    <row r="48" spans="1:18" ht="48" x14ac:dyDescent="0.35">
      <c r="A48" s="13"/>
      <c r="B48" s="273"/>
      <c r="C48" s="275" t="s">
        <v>51</v>
      </c>
      <c r="D48" s="279">
        <v>53769.867162288763</v>
      </c>
      <c r="E48" s="279">
        <v>0</v>
      </c>
      <c r="F48" s="279">
        <v>0</v>
      </c>
      <c r="G48" s="279">
        <v>0</v>
      </c>
      <c r="H48" s="279">
        <v>0</v>
      </c>
      <c r="I48" s="279"/>
      <c r="N48" s="13"/>
      <c r="O48" s="13"/>
      <c r="P48" s="13"/>
      <c r="Q48" s="13"/>
      <c r="R48" s="13"/>
    </row>
    <row r="49" spans="1:18" ht="16.5" thickBot="1" x14ac:dyDescent="0.4">
      <c r="A49" s="13"/>
      <c r="B49" s="274"/>
      <c r="C49" s="276" t="s">
        <v>52</v>
      </c>
      <c r="D49" s="280">
        <v>0</v>
      </c>
      <c r="E49" s="280">
        <v>0</v>
      </c>
      <c r="F49" s="280">
        <v>0</v>
      </c>
      <c r="G49" s="280">
        <v>0</v>
      </c>
      <c r="H49" s="280">
        <v>0</v>
      </c>
      <c r="I49" s="280"/>
      <c r="N49" s="13"/>
      <c r="O49" s="13"/>
      <c r="P49" s="13"/>
      <c r="Q49" s="13"/>
      <c r="R49" s="13"/>
    </row>
    <row r="50" spans="1:18" ht="16" x14ac:dyDescent="0.35">
      <c r="A50" s="13"/>
      <c r="B50" s="281" t="s">
        <v>36</v>
      </c>
      <c r="C50" s="281" t="s">
        <v>32</v>
      </c>
      <c r="D50" s="283">
        <v>2574375</v>
      </c>
      <c r="E50" s="285">
        <v>1653418</v>
      </c>
      <c r="F50" s="285">
        <v>1380864</v>
      </c>
      <c r="G50" s="285">
        <f>SUM(G52+G54)</f>
        <v>799025.55120138137</v>
      </c>
      <c r="H50" s="285">
        <v>4131</v>
      </c>
      <c r="I50" s="285">
        <f>G32</f>
        <v>9256.2642639999995</v>
      </c>
      <c r="N50" s="13"/>
      <c r="O50" s="13"/>
      <c r="P50" s="13"/>
      <c r="Q50" s="13"/>
      <c r="R50" s="13"/>
    </row>
    <row r="51" spans="1:18" ht="16" x14ac:dyDescent="0.35">
      <c r="A51" s="13"/>
      <c r="B51" s="273"/>
      <c r="C51" s="275" t="s">
        <v>49</v>
      </c>
      <c r="D51" s="279">
        <f>1985346720.6512/1000</f>
        <v>1985346.7206512</v>
      </c>
      <c r="E51" s="279">
        <v>1653418.4099528843</v>
      </c>
      <c r="F51" s="279">
        <v>1268167.2236565244</v>
      </c>
      <c r="G51" s="279" t="s">
        <v>53</v>
      </c>
      <c r="H51" s="279">
        <f>2264188.31009/1000</f>
        <v>2264.18831009</v>
      </c>
      <c r="I51" s="279" t="s">
        <v>53</v>
      </c>
      <c r="M51" s="13"/>
      <c r="N51" s="13"/>
      <c r="O51" s="13"/>
      <c r="P51" s="13"/>
      <c r="Q51" s="13"/>
      <c r="R51" s="13"/>
    </row>
    <row r="52" spans="1:18" ht="16" x14ac:dyDescent="0.35">
      <c r="A52" s="13"/>
      <c r="B52" s="273"/>
      <c r="C52" s="275" t="s">
        <v>50</v>
      </c>
      <c r="D52" s="279">
        <f>589028023.073724/1000</f>
        <v>589028.02307372401</v>
      </c>
      <c r="E52" s="279" t="s">
        <v>53</v>
      </c>
      <c r="F52" s="279">
        <v>112697.24592668095</v>
      </c>
      <c r="G52" s="279">
        <v>4718.5512013814196</v>
      </c>
      <c r="H52" s="279">
        <f>1866786.5134195/1000</f>
        <v>1866.7865134195001</v>
      </c>
      <c r="I52" s="279" t="s">
        <v>53</v>
      </c>
      <c r="M52" s="13"/>
      <c r="N52" s="13"/>
      <c r="O52" s="13"/>
      <c r="P52" s="13"/>
      <c r="Q52" s="13"/>
      <c r="R52" s="13"/>
    </row>
    <row r="53" spans="1:18" ht="48" x14ac:dyDescent="0.35">
      <c r="A53" s="13"/>
      <c r="B53" s="273"/>
      <c r="C53" s="275" t="s">
        <v>51</v>
      </c>
      <c r="D53" s="279">
        <v>53769.867162288763</v>
      </c>
      <c r="E53" s="279" t="s">
        <v>53</v>
      </c>
      <c r="F53" s="279" t="s">
        <v>53</v>
      </c>
      <c r="G53" s="279" t="s">
        <v>53</v>
      </c>
      <c r="H53" s="279" t="s">
        <v>53</v>
      </c>
      <c r="I53" s="279" t="s">
        <v>53</v>
      </c>
      <c r="K53" s="13"/>
      <c r="L53" s="13"/>
      <c r="M53" s="13"/>
      <c r="N53" s="13"/>
      <c r="O53" s="13"/>
      <c r="P53" s="13"/>
      <c r="Q53" s="13"/>
      <c r="R53" s="13"/>
    </row>
    <row r="54" spans="1:18" ht="16.5" thickBot="1" x14ac:dyDescent="0.4">
      <c r="A54" s="13"/>
      <c r="B54" s="274"/>
      <c r="C54" s="276" t="s">
        <v>52</v>
      </c>
      <c r="D54" s="280" t="s">
        <v>53</v>
      </c>
      <c r="E54" s="280" t="s">
        <v>53</v>
      </c>
      <c r="F54" s="280" t="s">
        <v>53</v>
      </c>
      <c r="G54" s="280">
        <v>794307</v>
      </c>
      <c r="H54" s="280" t="s">
        <v>53</v>
      </c>
      <c r="I54" s="280" t="s">
        <v>53</v>
      </c>
      <c r="K54" s="13"/>
      <c r="L54" s="13"/>
      <c r="M54" s="13"/>
      <c r="N54" s="13"/>
      <c r="O54" s="13"/>
      <c r="P54" s="13"/>
      <c r="Q54" s="13"/>
      <c r="R54" s="13"/>
    </row>
    <row r="55" spans="1:18" ht="16" x14ac:dyDescent="0.35">
      <c r="A55" s="13"/>
      <c r="B55" s="281" t="s">
        <v>37</v>
      </c>
      <c r="C55" s="282" t="s">
        <v>32</v>
      </c>
      <c r="D55" s="283">
        <v>2534000</v>
      </c>
      <c r="E55" s="283">
        <v>1609000</v>
      </c>
      <c r="F55" s="283">
        <v>1425000</v>
      </c>
      <c r="G55" s="283">
        <f>SUM(G57+G59)</f>
        <v>116610</v>
      </c>
      <c r="H55" s="283">
        <v>4500</v>
      </c>
      <c r="I55" s="283">
        <v>7474</v>
      </c>
      <c r="K55" s="13"/>
      <c r="L55" s="13"/>
      <c r="M55" s="13"/>
      <c r="N55" s="13"/>
      <c r="O55" s="13"/>
      <c r="P55" s="13"/>
      <c r="Q55" s="13"/>
      <c r="R55" s="13"/>
    </row>
    <row r="56" spans="1:18" ht="16" x14ac:dyDescent="0.35">
      <c r="A56" s="13"/>
      <c r="B56" s="273"/>
      <c r="C56" s="275" t="s">
        <v>49</v>
      </c>
      <c r="D56" s="279">
        <v>1870000</v>
      </c>
      <c r="E56" s="279">
        <v>1609000</v>
      </c>
      <c r="F56" s="279">
        <v>1195000</v>
      </c>
      <c r="G56" s="279" t="s">
        <v>53</v>
      </c>
      <c r="H56" s="279">
        <v>2200</v>
      </c>
      <c r="I56" s="279" t="s">
        <v>53</v>
      </c>
      <c r="K56" s="13"/>
      <c r="L56" s="13"/>
      <c r="M56" s="13"/>
      <c r="N56" s="13"/>
      <c r="O56" s="13"/>
      <c r="P56" s="13"/>
      <c r="Q56" s="13"/>
      <c r="R56" s="13"/>
    </row>
    <row r="57" spans="1:18" ht="16" x14ac:dyDescent="0.35">
      <c r="A57" s="13"/>
      <c r="B57" s="273"/>
      <c r="C57" s="275" t="s">
        <v>50</v>
      </c>
      <c r="D57" s="279">
        <v>610000</v>
      </c>
      <c r="E57" s="279" t="s">
        <v>53</v>
      </c>
      <c r="F57" s="279">
        <v>230000</v>
      </c>
      <c r="G57" s="279">
        <v>4320</v>
      </c>
      <c r="H57" s="279">
        <v>2300</v>
      </c>
      <c r="I57" s="279" t="s">
        <v>53</v>
      </c>
      <c r="K57" s="13"/>
      <c r="L57" s="13"/>
      <c r="M57" s="13"/>
      <c r="N57" s="13"/>
      <c r="O57" s="13"/>
      <c r="P57" s="13"/>
      <c r="Q57" s="13"/>
      <c r="R57" s="13"/>
    </row>
    <row r="58" spans="1:18" ht="48" x14ac:dyDescent="0.35">
      <c r="A58" s="13"/>
      <c r="B58" s="273"/>
      <c r="C58" s="275" t="s">
        <v>51</v>
      </c>
      <c r="D58" s="279">
        <v>54000</v>
      </c>
      <c r="E58" s="279" t="s">
        <v>53</v>
      </c>
      <c r="F58" s="279" t="s">
        <v>53</v>
      </c>
      <c r="G58" s="279" t="s">
        <v>53</v>
      </c>
      <c r="H58" s="279" t="s">
        <v>53</v>
      </c>
      <c r="I58" s="279" t="s">
        <v>53</v>
      </c>
      <c r="K58" s="13"/>
      <c r="L58" s="13"/>
      <c r="M58" s="13"/>
      <c r="N58" s="13"/>
      <c r="O58" s="13"/>
      <c r="P58" s="13"/>
      <c r="Q58" s="13"/>
      <c r="R58" s="13"/>
    </row>
    <row r="59" spans="1:18" ht="16.5" thickBot="1" x14ac:dyDescent="0.4">
      <c r="A59" s="13"/>
      <c r="B59" s="274"/>
      <c r="C59" s="276" t="s">
        <v>52</v>
      </c>
      <c r="D59" s="280" t="s">
        <v>53</v>
      </c>
      <c r="E59" s="280" t="s">
        <v>53</v>
      </c>
      <c r="F59" s="280" t="s">
        <v>53</v>
      </c>
      <c r="G59" s="280">
        <v>112290</v>
      </c>
      <c r="H59" s="280" t="s">
        <v>53</v>
      </c>
      <c r="I59" s="280" t="s">
        <v>53</v>
      </c>
      <c r="K59" s="13"/>
      <c r="L59" s="13"/>
      <c r="M59" s="13"/>
      <c r="N59" s="13"/>
      <c r="O59" s="13"/>
      <c r="P59" s="13"/>
      <c r="Q59" s="13"/>
      <c r="R59" s="13"/>
    </row>
    <row r="60" spans="1:18" ht="16" x14ac:dyDescent="0.35">
      <c r="A60" s="13"/>
      <c r="B60" s="397" t="s">
        <v>54</v>
      </c>
      <c r="C60" s="282" t="s">
        <v>32</v>
      </c>
      <c r="D60" s="283">
        <v>2349000</v>
      </c>
      <c r="E60" s="283">
        <v>1491000</v>
      </c>
      <c r="F60" s="283">
        <v>1389000</v>
      </c>
      <c r="G60" s="283">
        <v>173920</v>
      </c>
      <c r="H60" s="283">
        <v>4220</v>
      </c>
      <c r="I60" s="283">
        <v>8114</v>
      </c>
      <c r="K60" s="13"/>
      <c r="L60" s="13"/>
      <c r="M60" s="13"/>
      <c r="N60" s="13"/>
      <c r="O60" s="13"/>
      <c r="P60" s="13"/>
      <c r="Q60" s="13"/>
      <c r="R60" s="13"/>
    </row>
    <row r="61" spans="1:18" ht="16" x14ac:dyDescent="0.35">
      <c r="A61" s="13"/>
      <c r="B61" s="272"/>
      <c r="C61" s="275" t="s">
        <v>49</v>
      </c>
      <c r="D61" s="279">
        <v>1800000</v>
      </c>
      <c r="E61" s="279">
        <v>1491000</v>
      </c>
      <c r="F61" s="279">
        <v>1189000</v>
      </c>
      <c r="G61" s="279" t="s">
        <v>53</v>
      </c>
      <c r="H61" s="279">
        <v>2000</v>
      </c>
      <c r="I61" s="279" t="s">
        <v>53</v>
      </c>
      <c r="K61" s="13"/>
      <c r="L61" s="13"/>
      <c r="M61" s="13"/>
      <c r="N61" s="13"/>
      <c r="O61" s="13"/>
      <c r="P61" s="13"/>
      <c r="Q61" s="13"/>
      <c r="R61" s="13"/>
    </row>
    <row r="62" spans="1:18" ht="16" x14ac:dyDescent="0.35">
      <c r="A62" s="13"/>
      <c r="B62" s="272"/>
      <c r="C62" s="275" t="s">
        <v>50</v>
      </c>
      <c r="D62" s="279">
        <v>549000</v>
      </c>
      <c r="E62" s="279" t="s">
        <v>53</v>
      </c>
      <c r="F62" s="279">
        <v>200000</v>
      </c>
      <c r="G62" s="279">
        <v>3920</v>
      </c>
      <c r="H62" s="279">
        <v>2220</v>
      </c>
      <c r="I62" s="279" t="s">
        <v>53</v>
      </c>
      <c r="K62" s="13"/>
      <c r="L62" s="13"/>
      <c r="M62" s="13"/>
      <c r="N62" s="13"/>
      <c r="O62" s="13"/>
      <c r="P62" s="13"/>
      <c r="Q62" s="13"/>
      <c r="R62" s="13"/>
    </row>
    <row r="63" spans="1:18" ht="48" x14ac:dyDescent="0.35">
      <c r="A63" s="13"/>
      <c r="B63" s="272"/>
      <c r="C63" s="275" t="s">
        <v>51</v>
      </c>
      <c r="D63" s="279">
        <v>36103</v>
      </c>
      <c r="E63" s="279" t="s">
        <v>53</v>
      </c>
      <c r="F63" s="279" t="s">
        <v>53</v>
      </c>
      <c r="G63" s="279" t="s">
        <v>53</v>
      </c>
      <c r="H63" s="279" t="s">
        <v>53</v>
      </c>
      <c r="I63" s="279" t="s">
        <v>53</v>
      </c>
      <c r="K63" s="13"/>
      <c r="L63" s="13"/>
      <c r="M63" s="13"/>
      <c r="N63" s="13"/>
      <c r="O63" s="13"/>
      <c r="P63" s="13"/>
      <c r="Q63" s="13"/>
      <c r="R63" s="13"/>
    </row>
    <row r="64" spans="1:18" ht="16.5" thickBot="1" x14ac:dyDescent="0.4">
      <c r="A64" s="13"/>
      <c r="B64" s="284"/>
      <c r="C64" s="276" t="s">
        <v>52</v>
      </c>
      <c r="D64" s="280" t="s">
        <v>53</v>
      </c>
      <c r="E64" s="280" t="s">
        <v>53</v>
      </c>
      <c r="F64" s="280" t="s">
        <v>53</v>
      </c>
      <c r="G64" s="280">
        <v>170000</v>
      </c>
      <c r="H64" s="280" t="s">
        <v>53</v>
      </c>
      <c r="I64" s="280" t="s">
        <v>53</v>
      </c>
      <c r="K64" s="13"/>
      <c r="L64" s="13"/>
      <c r="M64" s="13"/>
      <c r="N64" s="13"/>
      <c r="O64" s="13"/>
      <c r="P64" s="13"/>
      <c r="Q64" s="13"/>
      <c r="R64" s="13"/>
    </row>
    <row r="65" spans="1:19" ht="16" x14ac:dyDescent="0.35">
      <c r="A65" s="13"/>
      <c r="B65" s="281" t="s">
        <v>39</v>
      </c>
      <c r="C65" s="282" t="s">
        <v>32</v>
      </c>
      <c r="D65" s="283">
        <v>990000</v>
      </c>
      <c r="E65" s="283">
        <v>1380000</v>
      </c>
      <c r="F65" s="283">
        <v>459000</v>
      </c>
      <c r="G65" s="283">
        <v>3000</v>
      </c>
      <c r="H65" s="283">
        <v>11000</v>
      </c>
      <c r="I65" s="283">
        <v>6215</v>
      </c>
      <c r="M65" s="13"/>
      <c r="N65" s="13"/>
      <c r="O65" s="13"/>
      <c r="P65" s="13"/>
      <c r="Q65" s="13"/>
      <c r="R65" s="13"/>
    </row>
    <row r="66" spans="1:19" ht="16" x14ac:dyDescent="0.35">
      <c r="A66" s="13"/>
      <c r="B66" s="272"/>
      <c r="C66" s="275" t="s">
        <v>49</v>
      </c>
      <c r="D66" s="279">
        <v>630000</v>
      </c>
      <c r="E66" s="279">
        <v>1380000</v>
      </c>
      <c r="F66" s="279">
        <v>420000</v>
      </c>
      <c r="G66" s="279" t="s">
        <v>53</v>
      </c>
      <c r="H66" s="279">
        <v>11000</v>
      </c>
      <c r="I66" s="279" t="s">
        <v>53</v>
      </c>
      <c r="M66" s="13"/>
      <c r="N66" s="13"/>
      <c r="O66" s="13"/>
      <c r="P66" s="13"/>
      <c r="Q66" s="13"/>
      <c r="R66" s="13"/>
    </row>
    <row r="67" spans="1:19" ht="16" x14ac:dyDescent="0.35">
      <c r="A67" s="13"/>
      <c r="B67" s="272"/>
      <c r="C67" s="275" t="s">
        <v>50</v>
      </c>
      <c r="D67" s="279">
        <v>325000</v>
      </c>
      <c r="E67" s="279" t="s">
        <v>53</v>
      </c>
      <c r="F67" s="279">
        <v>39000</v>
      </c>
      <c r="G67" s="279">
        <v>3000</v>
      </c>
      <c r="H67" s="279"/>
      <c r="I67" s="279" t="s">
        <v>53</v>
      </c>
      <c r="M67" s="13"/>
      <c r="N67" s="13"/>
      <c r="O67" s="13"/>
      <c r="P67" s="13"/>
      <c r="Q67" s="13"/>
      <c r="R67" s="13"/>
    </row>
    <row r="68" spans="1:19" ht="48" x14ac:dyDescent="0.35">
      <c r="A68" s="13"/>
      <c r="B68" s="272"/>
      <c r="C68" s="275" t="s">
        <v>51</v>
      </c>
      <c r="D68" s="279">
        <v>35702</v>
      </c>
      <c r="E68" s="279" t="s">
        <v>53</v>
      </c>
      <c r="F68" s="279" t="s">
        <v>53</v>
      </c>
      <c r="G68" s="279" t="s">
        <v>53</v>
      </c>
      <c r="H68" s="279" t="s">
        <v>53</v>
      </c>
      <c r="I68" s="279" t="s">
        <v>53</v>
      </c>
      <c r="M68" s="13"/>
      <c r="N68" s="13"/>
      <c r="O68" s="13"/>
      <c r="P68" s="13"/>
      <c r="Q68" s="13"/>
      <c r="R68" s="13"/>
    </row>
    <row r="69" spans="1:19" ht="16.5" thickBot="1" x14ac:dyDescent="0.4">
      <c r="A69" s="13"/>
      <c r="B69" s="274"/>
      <c r="C69" s="276" t="s">
        <v>52</v>
      </c>
      <c r="D69" s="280" t="s">
        <v>53</v>
      </c>
      <c r="E69" s="280" t="s">
        <v>53</v>
      </c>
      <c r="F69" s="280" t="s">
        <v>53</v>
      </c>
      <c r="G69" s="280" t="s">
        <v>53</v>
      </c>
      <c r="H69" s="280" t="s">
        <v>53</v>
      </c>
      <c r="I69" s="280" t="s">
        <v>53</v>
      </c>
      <c r="M69" s="13"/>
      <c r="N69" s="13"/>
      <c r="O69" s="13"/>
      <c r="P69" s="13"/>
      <c r="Q69" s="13"/>
      <c r="R69" s="13"/>
    </row>
    <row r="70" spans="1:19" ht="17.5" x14ac:dyDescent="0.45">
      <c r="A70" s="13"/>
      <c r="B70" s="144"/>
      <c r="C70" s="154"/>
      <c r="D70" s="155"/>
      <c r="E70" s="144"/>
      <c r="F70" s="154"/>
      <c r="G70" s="132"/>
      <c r="H70" s="132"/>
      <c r="I70" s="132"/>
      <c r="J70" s="13"/>
      <c r="M70" s="13"/>
      <c r="N70" s="13"/>
      <c r="O70" s="13"/>
      <c r="P70" s="13"/>
      <c r="Q70" s="13"/>
      <c r="R70" s="13"/>
    </row>
    <row r="71" spans="1:19" s="9" customFormat="1" ht="21" x14ac:dyDescent="0.45">
      <c r="B71" s="23" t="s">
        <v>9</v>
      </c>
      <c r="C71" s="14"/>
      <c r="D71" s="21"/>
      <c r="E71" s="21"/>
      <c r="F71" s="21"/>
      <c r="G71" s="21"/>
      <c r="H71" s="21"/>
      <c r="I71" s="21"/>
    </row>
    <row r="72" spans="1:19" ht="6" customHeight="1" x14ac:dyDescent="0.45">
      <c r="A72" s="13"/>
      <c r="B72" s="143"/>
      <c r="C72" s="143"/>
      <c r="D72" s="132"/>
      <c r="E72" s="132"/>
      <c r="F72" s="132"/>
      <c r="G72" s="132"/>
      <c r="H72" s="132"/>
      <c r="I72" s="132"/>
      <c r="J72" s="13"/>
      <c r="K72" s="13"/>
      <c r="L72" s="13"/>
      <c r="M72" s="13"/>
      <c r="N72" s="13"/>
      <c r="O72" s="13"/>
      <c r="P72" s="13"/>
      <c r="Q72" s="13"/>
      <c r="R72" s="13"/>
    </row>
    <row r="73" spans="1:19" s="9" customFormat="1" ht="18" customHeight="1" x14ac:dyDescent="0.45">
      <c r="B73" s="15" t="s">
        <v>55</v>
      </c>
      <c r="C73" s="20"/>
      <c r="D73" s="21"/>
      <c r="E73" s="21"/>
      <c r="F73" s="21"/>
      <c r="G73" s="21"/>
      <c r="H73" s="21"/>
      <c r="I73" s="21"/>
      <c r="J73" s="21"/>
      <c r="K73" s="21"/>
    </row>
    <row r="74" spans="1:19" ht="6.65" customHeight="1" thickBot="1" x14ac:dyDescent="0.5">
      <c r="A74" s="13"/>
      <c r="B74" s="139"/>
      <c r="C74" s="139"/>
      <c r="D74" s="132"/>
      <c r="E74" s="132"/>
      <c r="F74" s="132"/>
      <c r="G74" s="132"/>
      <c r="H74" s="132"/>
      <c r="I74" s="132"/>
      <c r="J74" s="13"/>
      <c r="K74" s="13"/>
      <c r="N74" s="13"/>
      <c r="O74" s="13"/>
      <c r="P74" s="13"/>
      <c r="Q74" s="13"/>
      <c r="R74" s="13"/>
    </row>
    <row r="75" spans="1:19" ht="32" x14ac:dyDescent="0.45">
      <c r="A75" s="13"/>
      <c r="B75" s="296" t="s">
        <v>32</v>
      </c>
      <c r="C75" s="626" t="s">
        <v>33</v>
      </c>
      <c r="D75" s="626" t="s">
        <v>34</v>
      </c>
      <c r="E75" s="396" t="s">
        <v>56</v>
      </c>
      <c r="F75" s="626" t="s">
        <v>36</v>
      </c>
      <c r="G75" s="626" t="s">
        <v>37</v>
      </c>
      <c r="H75" s="626" t="s">
        <v>57</v>
      </c>
      <c r="I75" s="626" t="s">
        <v>39</v>
      </c>
      <c r="J75" s="132"/>
      <c r="K75" s="13"/>
      <c r="L75" s="132"/>
      <c r="O75" s="13"/>
      <c r="P75" s="13"/>
      <c r="Q75" s="13"/>
      <c r="R75" s="13"/>
      <c r="S75" s="13"/>
    </row>
    <row r="76" spans="1:19" ht="17.5" x14ac:dyDescent="0.45">
      <c r="A76" s="13"/>
      <c r="B76" s="297" t="s">
        <v>58</v>
      </c>
      <c r="C76" s="538">
        <v>3288</v>
      </c>
      <c r="D76" s="539" t="s">
        <v>59</v>
      </c>
      <c r="E76" s="538">
        <v>1603</v>
      </c>
      <c r="F76" s="286" t="s">
        <v>59</v>
      </c>
      <c r="G76" s="288" t="s">
        <v>60</v>
      </c>
      <c r="H76" s="269" t="s">
        <v>61</v>
      </c>
      <c r="I76" s="269" t="s">
        <v>62</v>
      </c>
      <c r="J76" s="132"/>
      <c r="K76" s="13"/>
      <c r="L76" s="132"/>
      <c r="O76" s="13"/>
      <c r="P76" s="13"/>
      <c r="Q76" s="13"/>
      <c r="R76" s="13"/>
      <c r="S76" s="13"/>
    </row>
    <row r="77" spans="1:19" ht="48.5" thickBot="1" x14ac:dyDescent="0.5">
      <c r="A77" s="13"/>
      <c r="B77" s="299" t="s">
        <v>63</v>
      </c>
      <c r="C77" s="540">
        <v>2305</v>
      </c>
      <c r="D77" s="541" t="s">
        <v>59</v>
      </c>
      <c r="E77" s="542">
        <v>1472</v>
      </c>
      <c r="F77" s="287" t="s">
        <v>59</v>
      </c>
      <c r="G77" s="289" t="s">
        <v>64</v>
      </c>
      <c r="H77" s="289" t="s">
        <v>65</v>
      </c>
      <c r="I77" s="290" t="s">
        <v>66</v>
      </c>
      <c r="J77" s="132"/>
      <c r="K77" s="13"/>
      <c r="L77" s="132"/>
      <c r="O77" s="13"/>
      <c r="P77" s="13"/>
      <c r="Q77" s="13"/>
      <c r="R77" s="13"/>
      <c r="S77" s="13"/>
    </row>
    <row r="78" spans="1:19" ht="16" x14ac:dyDescent="0.35">
      <c r="A78" s="13"/>
      <c r="B78" s="144"/>
      <c r="C78" s="154"/>
      <c r="D78" s="144"/>
      <c r="E78" s="154"/>
      <c r="F78" s="154"/>
      <c r="G78" s="154"/>
      <c r="H78" s="144"/>
      <c r="I78" s="154"/>
      <c r="J78" s="13"/>
      <c r="K78" s="13"/>
      <c r="L78" s="13"/>
      <c r="M78" s="13"/>
      <c r="N78" s="13"/>
      <c r="O78" s="13"/>
      <c r="P78" s="13"/>
      <c r="Q78" s="13"/>
      <c r="R78" s="13"/>
    </row>
    <row r="79" spans="1:19" s="9" customFormat="1" ht="21" x14ac:dyDescent="0.45">
      <c r="B79" s="398" t="s">
        <v>67</v>
      </c>
      <c r="C79" s="14"/>
      <c r="D79" s="21"/>
      <c r="E79" s="21"/>
      <c r="F79" s="21"/>
      <c r="G79" s="21"/>
      <c r="H79" s="21"/>
      <c r="I79" s="21"/>
    </row>
    <row r="80" spans="1:19" ht="6" customHeight="1" x14ac:dyDescent="0.45">
      <c r="A80" s="13"/>
      <c r="B80" s="143"/>
      <c r="C80" s="143"/>
      <c r="D80" s="132"/>
      <c r="E80" s="132"/>
      <c r="F80" s="132"/>
      <c r="G80" s="132"/>
      <c r="H80" s="132"/>
      <c r="I80" s="132"/>
      <c r="J80" s="13"/>
      <c r="K80" s="13"/>
      <c r="L80" s="13"/>
      <c r="M80" s="13"/>
      <c r="N80" s="13"/>
      <c r="O80" s="13"/>
      <c r="P80" s="13"/>
      <c r="Q80" s="13"/>
      <c r="R80" s="13"/>
    </row>
    <row r="81" spans="1:19" s="9" customFormat="1" ht="17.5" x14ac:dyDescent="0.45">
      <c r="B81" s="15" t="s">
        <v>13</v>
      </c>
      <c r="C81" s="20"/>
      <c r="D81" s="21"/>
      <c r="E81" s="21"/>
      <c r="F81" s="21"/>
      <c r="G81" s="21"/>
      <c r="H81" s="21"/>
      <c r="I81" s="21"/>
      <c r="K81" s="21"/>
    </row>
    <row r="82" spans="1:19" ht="4.1500000000000004" customHeight="1" thickBot="1" x14ac:dyDescent="0.5">
      <c r="A82" s="13"/>
      <c r="B82" s="139"/>
      <c r="C82" s="139"/>
      <c r="D82" s="132"/>
      <c r="E82" s="132"/>
      <c r="F82" s="132"/>
      <c r="G82" s="132"/>
      <c r="H82" s="132"/>
      <c r="I82" s="132"/>
      <c r="J82" s="13"/>
      <c r="K82" s="13"/>
      <c r="L82" s="13"/>
      <c r="M82" s="13"/>
      <c r="N82" s="13"/>
      <c r="O82" s="13"/>
      <c r="P82" s="13"/>
      <c r="Q82" s="13"/>
      <c r="R82" s="13"/>
    </row>
    <row r="83" spans="1:19" ht="32" x14ac:dyDescent="0.35">
      <c r="A83" s="13"/>
      <c r="B83" s="626" t="s">
        <v>68</v>
      </c>
      <c r="C83" s="626" t="s">
        <v>33</v>
      </c>
      <c r="D83" s="626" t="s">
        <v>34</v>
      </c>
      <c r="E83" s="626" t="s">
        <v>35</v>
      </c>
      <c r="F83" s="626" t="s">
        <v>36</v>
      </c>
      <c r="G83" s="626" t="s">
        <v>37</v>
      </c>
      <c r="H83" s="626"/>
      <c r="I83" s="626" t="s">
        <v>57</v>
      </c>
      <c r="J83" s="626" t="s">
        <v>39</v>
      </c>
      <c r="K83" s="13"/>
      <c r="L83" s="13"/>
      <c r="M83" s="13"/>
      <c r="N83" s="13"/>
      <c r="O83" s="13"/>
      <c r="P83" s="13"/>
      <c r="Q83" s="13"/>
      <c r="R83" s="13"/>
      <c r="S83" s="13"/>
    </row>
    <row r="84" spans="1:19" ht="16.5" x14ac:dyDescent="0.45">
      <c r="A84" s="13"/>
      <c r="B84" s="272" t="s">
        <v>32</v>
      </c>
      <c r="C84" s="435">
        <v>11744</v>
      </c>
      <c r="D84" s="435">
        <v>12841</v>
      </c>
      <c r="E84" s="435">
        <v>10821</v>
      </c>
      <c r="F84" s="293">
        <v>11922</v>
      </c>
      <c r="G84" s="277">
        <v>13797</v>
      </c>
      <c r="H84" s="272" t="s">
        <v>32</v>
      </c>
      <c r="I84" s="277">
        <v>14996</v>
      </c>
      <c r="J84" s="277">
        <v>13568</v>
      </c>
      <c r="K84" s="13"/>
      <c r="L84" s="13"/>
      <c r="O84" s="13"/>
      <c r="P84" s="13"/>
      <c r="Q84" s="13"/>
      <c r="R84" s="13"/>
      <c r="S84" s="13"/>
    </row>
    <row r="85" spans="1:19" ht="16.5" x14ac:dyDescent="0.45">
      <c r="A85" s="13"/>
      <c r="B85" s="291" t="s">
        <v>69</v>
      </c>
      <c r="C85" s="436">
        <v>4151</v>
      </c>
      <c r="D85" s="436">
        <v>4151</v>
      </c>
      <c r="E85" s="436">
        <v>3714</v>
      </c>
      <c r="F85" s="294">
        <v>3714</v>
      </c>
      <c r="G85" s="269">
        <v>5702</v>
      </c>
      <c r="H85" s="291" t="s">
        <v>69</v>
      </c>
      <c r="I85" s="269">
        <f>484+5422</f>
        <v>5906</v>
      </c>
      <c r="J85" s="269">
        <v>5710</v>
      </c>
      <c r="K85" s="13"/>
      <c r="O85" s="13"/>
      <c r="P85" s="13"/>
      <c r="Q85" s="13"/>
      <c r="R85" s="13"/>
      <c r="S85" s="13"/>
    </row>
    <row r="86" spans="1:19" ht="16.5" x14ac:dyDescent="0.45">
      <c r="A86" s="13"/>
      <c r="B86" s="291" t="s">
        <v>70</v>
      </c>
      <c r="C86" s="436">
        <v>5387</v>
      </c>
      <c r="D86" s="436">
        <v>5387</v>
      </c>
      <c r="E86" s="436">
        <v>4814</v>
      </c>
      <c r="F86" s="294">
        <v>4814</v>
      </c>
      <c r="G86" s="269">
        <v>4515</v>
      </c>
      <c r="H86" s="291" t="s">
        <v>70</v>
      </c>
      <c r="I86" s="269">
        <f>1680+2366</f>
        <v>4046</v>
      </c>
      <c r="J86" s="269">
        <v>3337</v>
      </c>
      <c r="K86" s="13"/>
      <c r="O86" s="13"/>
      <c r="P86" s="13"/>
      <c r="Q86" s="13"/>
      <c r="R86" s="13"/>
      <c r="S86" s="13"/>
    </row>
    <row r="87" spans="1:19" ht="32" x14ac:dyDescent="0.45">
      <c r="A87" s="13"/>
      <c r="B87" s="291" t="s">
        <v>71</v>
      </c>
      <c r="C87" s="436">
        <v>1537</v>
      </c>
      <c r="D87" s="436">
        <v>1537</v>
      </c>
      <c r="E87" s="436">
        <v>1580</v>
      </c>
      <c r="F87" s="294">
        <v>1580</v>
      </c>
      <c r="G87" s="269">
        <v>1634</v>
      </c>
      <c r="H87" s="291" t="s">
        <v>71</v>
      </c>
      <c r="I87" s="269">
        <v>1522</v>
      </c>
      <c r="J87" s="269">
        <v>1437</v>
      </c>
      <c r="K87" s="13"/>
      <c r="O87" s="13"/>
      <c r="P87" s="13"/>
      <c r="Q87" s="13"/>
      <c r="R87" s="13"/>
      <c r="S87" s="13"/>
    </row>
    <row r="88" spans="1:19" ht="16.5" x14ac:dyDescent="0.45">
      <c r="A88" s="13"/>
      <c r="B88" s="291" t="s">
        <v>50</v>
      </c>
      <c r="C88" s="531" t="s">
        <v>59</v>
      </c>
      <c r="D88" s="436">
        <v>1097</v>
      </c>
      <c r="E88" s="531" t="s">
        <v>59</v>
      </c>
      <c r="F88" s="294">
        <v>1101</v>
      </c>
      <c r="G88" s="269">
        <v>1220</v>
      </c>
      <c r="H88" s="291" t="s">
        <v>50</v>
      </c>
      <c r="I88" s="269">
        <v>1159</v>
      </c>
      <c r="J88" s="269">
        <v>1048</v>
      </c>
      <c r="K88" s="13"/>
      <c r="O88" s="13"/>
      <c r="P88" s="13"/>
      <c r="Q88" s="13"/>
      <c r="R88" s="13"/>
      <c r="S88" s="13"/>
    </row>
    <row r="89" spans="1:19" ht="17" thickBot="1" x14ac:dyDescent="0.5">
      <c r="A89" s="13"/>
      <c r="B89" s="292" t="s">
        <v>72</v>
      </c>
      <c r="C89" s="437">
        <v>669</v>
      </c>
      <c r="D89" s="437">
        <v>669</v>
      </c>
      <c r="E89" s="437">
        <v>713</v>
      </c>
      <c r="F89" s="295">
        <v>713</v>
      </c>
      <c r="G89" s="290">
        <v>726</v>
      </c>
      <c r="H89" s="291" t="s">
        <v>73</v>
      </c>
      <c r="I89" s="269">
        <v>1705</v>
      </c>
      <c r="J89" s="269">
        <v>1487</v>
      </c>
      <c r="K89" s="13"/>
      <c r="O89" s="13"/>
      <c r="P89" s="13"/>
      <c r="Q89" s="13"/>
      <c r="R89" s="13"/>
      <c r="S89" s="13"/>
    </row>
    <row r="90" spans="1:19" ht="18" thickBot="1" x14ac:dyDescent="0.5">
      <c r="A90" s="13"/>
      <c r="B90" s="132"/>
      <c r="F90" s="13"/>
      <c r="G90" s="132"/>
      <c r="H90" s="399" t="s">
        <v>74</v>
      </c>
      <c r="I90" s="290">
        <v>658</v>
      </c>
      <c r="J90" s="290">
        <v>549</v>
      </c>
      <c r="K90" s="13"/>
      <c r="O90" s="13"/>
      <c r="P90" s="13"/>
      <c r="Q90" s="13"/>
      <c r="R90" s="13"/>
      <c r="S90" s="13"/>
    </row>
    <row r="91" spans="1:19" ht="17.5" x14ac:dyDescent="0.45">
      <c r="A91" s="13"/>
      <c r="B91" s="132"/>
      <c r="C91" s="13"/>
      <c r="D91" s="132"/>
      <c r="E91" s="132"/>
      <c r="F91" s="132"/>
      <c r="G91" s="132"/>
      <c r="H91" s="132"/>
      <c r="I91" s="132"/>
      <c r="J91" s="13"/>
      <c r="M91" s="13"/>
      <c r="N91" s="13"/>
      <c r="O91" s="13"/>
      <c r="P91" s="13"/>
      <c r="Q91" s="13"/>
      <c r="R91" s="13"/>
    </row>
    <row r="92" spans="1:19" s="9" customFormat="1" ht="17.5" x14ac:dyDescent="0.45">
      <c r="B92" s="15" t="s">
        <v>15</v>
      </c>
      <c r="C92" s="20"/>
      <c r="D92" s="21"/>
      <c r="E92" s="21"/>
      <c r="F92" s="21"/>
      <c r="G92" s="21"/>
      <c r="H92" s="21"/>
      <c r="I92" s="21"/>
      <c r="K92" s="21"/>
    </row>
    <row r="93" spans="1:19" ht="10.15" customHeight="1" thickBot="1" x14ac:dyDescent="0.5">
      <c r="A93" s="13"/>
      <c r="B93" s="139"/>
      <c r="C93" s="139"/>
      <c r="D93" s="132"/>
      <c r="E93" s="132"/>
      <c r="F93" s="132"/>
      <c r="G93" s="132"/>
      <c r="H93" s="132"/>
      <c r="I93" s="132"/>
      <c r="J93" s="13"/>
      <c r="K93" s="13"/>
      <c r="L93" s="13"/>
      <c r="M93" s="13"/>
      <c r="N93" s="13"/>
      <c r="O93" s="13"/>
      <c r="P93" s="13"/>
      <c r="Q93" s="13"/>
      <c r="R93" s="13"/>
    </row>
    <row r="94" spans="1:19" ht="32" x14ac:dyDescent="0.35">
      <c r="A94" s="13"/>
      <c r="B94" s="626" t="s">
        <v>68</v>
      </c>
      <c r="C94" s="626" t="s">
        <v>33</v>
      </c>
      <c r="D94" s="626" t="s">
        <v>34</v>
      </c>
      <c r="E94" s="626" t="s">
        <v>35</v>
      </c>
      <c r="F94" s="626" t="s">
        <v>36</v>
      </c>
      <c r="G94" s="296" t="s">
        <v>37</v>
      </c>
      <c r="H94" s="626" t="s">
        <v>68</v>
      </c>
      <c r="I94" s="626" t="s">
        <v>57</v>
      </c>
      <c r="J94" s="626" t="s">
        <v>39</v>
      </c>
      <c r="K94" s="13"/>
      <c r="L94" s="13"/>
      <c r="M94" s="13"/>
      <c r="N94" s="13"/>
      <c r="O94" s="13"/>
      <c r="P94" s="13"/>
      <c r="Q94" s="13"/>
      <c r="R94" s="13"/>
      <c r="S94" s="13"/>
    </row>
    <row r="95" spans="1:19" ht="16.5" x14ac:dyDescent="0.45">
      <c r="A95" s="13"/>
      <c r="B95" s="272" t="s">
        <v>32</v>
      </c>
      <c r="C95" s="532" t="s">
        <v>75</v>
      </c>
      <c r="D95" s="532" t="s">
        <v>76</v>
      </c>
      <c r="E95" s="532" t="s">
        <v>77</v>
      </c>
      <c r="F95" s="300" t="s">
        <v>78</v>
      </c>
      <c r="G95" s="303" t="s">
        <v>79</v>
      </c>
      <c r="H95" s="272" t="s">
        <v>32</v>
      </c>
      <c r="I95" s="277" t="s">
        <v>80</v>
      </c>
      <c r="J95" s="277" t="s">
        <v>81</v>
      </c>
      <c r="K95" s="13"/>
      <c r="O95" s="13"/>
      <c r="P95" s="13"/>
      <c r="Q95" s="13"/>
      <c r="R95" s="13"/>
      <c r="S95" s="13"/>
    </row>
    <row r="96" spans="1:19" ht="16.5" x14ac:dyDescent="0.45">
      <c r="A96" s="13"/>
      <c r="B96" s="291" t="s">
        <v>69</v>
      </c>
      <c r="C96" s="533" t="s">
        <v>82</v>
      </c>
      <c r="D96" s="533" t="s">
        <v>82</v>
      </c>
      <c r="E96" s="533" t="s">
        <v>83</v>
      </c>
      <c r="F96" s="301" t="s">
        <v>84</v>
      </c>
      <c r="G96" s="304" t="s">
        <v>85</v>
      </c>
      <c r="H96" s="291" t="s">
        <v>69</v>
      </c>
      <c r="I96" s="269" t="s">
        <v>86</v>
      </c>
      <c r="J96" s="269" t="s">
        <v>87</v>
      </c>
      <c r="K96" s="13"/>
      <c r="O96" s="13"/>
      <c r="P96" s="13"/>
      <c r="Q96" s="13"/>
      <c r="R96" s="13"/>
      <c r="S96" s="13"/>
    </row>
    <row r="97" spans="1:19" ht="16.5" x14ac:dyDescent="0.45">
      <c r="A97" s="13"/>
      <c r="B97" s="291" t="s">
        <v>70</v>
      </c>
      <c r="C97" s="533" t="s">
        <v>88</v>
      </c>
      <c r="D97" s="533" t="s">
        <v>88</v>
      </c>
      <c r="E97" s="533" t="s">
        <v>89</v>
      </c>
      <c r="F97" s="301" t="s">
        <v>90</v>
      </c>
      <c r="G97" s="304" t="s">
        <v>91</v>
      </c>
      <c r="H97" s="291" t="s">
        <v>70</v>
      </c>
      <c r="I97" s="269" t="s">
        <v>92</v>
      </c>
      <c r="J97" s="269" t="s">
        <v>93</v>
      </c>
      <c r="K97" s="13"/>
      <c r="O97" s="13"/>
      <c r="P97" s="13"/>
      <c r="Q97" s="13"/>
      <c r="R97" s="13"/>
      <c r="S97" s="13"/>
    </row>
    <row r="98" spans="1:19" ht="32" x14ac:dyDescent="0.45">
      <c r="A98" s="13"/>
      <c r="B98" s="291" t="s">
        <v>71</v>
      </c>
      <c r="C98" s="533" t="s">
        <v>94</v>
      </c>
      <c r="D98" s="533" t="s">
        <v>94</v>
      </c>
      <c r="E98" s="533" t="s">
        <v>95</v>
      </c>
      <c r="F98" s="301" t="s">
        <v>96</v>
      </c>
      <c r="G98" s="304" t="s">
        <v>97</v>
      </c>
      <c r="H98" s="291" t="s">
        <v>71</v>
      </c>
      <c r="I98" s="269" t="s">
        <v>98</v>
      </c>
      <c r="J98" s="269" t="s">
        <v>99</v>
      </c>
      <c r="K98" s="13"/>
      <c r="O98" s="13"/>
      <c r="P98" s="13"/>
      <c r="Q98" s="13"/>
      <c r="R98" s="13"/>
      <c r="S98" s="13"/>
    </row>
    <row r="99" spans="1:19" ht="16.5" x14ac:dyDescent="0.45">
      <c r="A99" s="13"/>
      <c r="B99" s="291" t="s">
        <v>50</v>
      </c>
      <c r="C99" s="531" t="s">
        <v>59</v>
      </c>
      <c r="D99" s="533" t="s">
        <v>100</v>
      </c>
      <c r="E99" s="533" t="s">
        <v>59</v>
      </c>
      <c r="F99" s="301" t="s">
        <v>101</v>
      </c>
      <c r="G99" s="304" t="s">
        <v>102</v>
      </c>
      <c r="H99" s="291" t="s">
        <v>50</v>
      </c>
      <c r="I99" s="269" t="s">
        <v>103</v>
      </c>
      <c r="J99" s="269" t="s">
        <v>104</v>
      </c>
      <c r="K99" s="13"/>
      <c r="O99" s="13"/>
      <c r="P99" s="13"/>
      <c r="Q99" s="13"/>
      <c r="R99" s="13"/>
      <c r="S99" s="13"/>
    </row>
    <row r="100" spans="1:19" ht="17" thickBot="1" x14ac:dyDescent="0.5">
      <c r="A100" s="13"/>
      <c r="B100" s="292" t="s">
        <v>72</v>
      </c>
      <c r="C100" s="534" t="s">
        <v>105</v>
      </c>
      <c r="D100" s="534" t="s">
        <v>105</v>
      </c>
      <c r="E100" s="534" t="s">
        <v>105</v>
      </c>
      <c r="F100" s="302" t="s">
        <v>105</v>
      </c>
      <c r="G100" s="305" t="s">
        <v>106</v>
      </c>
      <c r="H100" s="291" t="s">
        <v>73</v>
      </c>
      <c r="I100" s="269" t="s">
        <v>107</v>
      </c>
      <c r="J100" s="269" t="s">
        <v>108</v>
      </c>
      <c r="K100" s="13"/>
      <c r="O100" s="13"/>
      <c r="P100" s="13"/>
      <c r="Q100" s="13"/>
      <c r="R100" s="13"/>
      <c r="S100" s="13"/>
    </row>
    <row r="101" spans="1:19" ht="18" thickBot="1" x14ac:dyDescent="0.5">
      <c r="A101" s="13"/>
      <c r="B101" s="132"/>
      <c r="F101" s="13"/>
      <c r="G101" s="132"/>
      <c r="H101" s="292" t="s">
        <v>72</v>
      </c>
      <c r="I101" s="290" t="s">
        <v>109</v>
      </c>
      <c r="J101" s="290" t="s">
        <v>110</v>
      </c>
      <c r="K101" s="13"/>
      <c r="O101" s="13"/>
      <c r="P101" s="13"/>
      <c r="Q101" s="13"/>
      <c r="R101" s="13"/>
      <c r="S101" s="13"/>
    </row>
    <row r="102" spans="1:19" ht="17.5" x14ac:dyDescent="0.45">
      <c r="A102" s="13"/>
      <c r="B102" s="132"/>
      <c r="D102" s="13"/>
      <c r="E102" s="132"/>
      <c r="F102" s="132"/>
      <c r="G102" s="132"/>
      <c r="H102" s="132"/>
      <c r="I102" s="132"/>
      <c r="J102" s="13"/>
      <c r="K102" s="13"/>
      <c r="L102" s="13"/>
      <c r="M102" s="13"/>
      <c r="N102" s="13"/>
      <c r="O102" s="13"/>
      <c r="P102" s="13"/>
      <c r="Q102" s="13"/>
      <c r="R102" s="13"/>
    </row>
    <row r="103" spans="1:19" s="9" customFormat="1" ht="17.5" x14ac:dyDescent="0.45">
      <c r="B103" s="15" t="s">
        <v>17</v>
      </c>
      <c r="C103" s="20"/>
      <c r="D103" s="21"/>
      <c r="E103" s="21"/>
      <c r="F103" s="21"/>
      <c r="G103" s="21"/>
      <c r="H103" s="21"/>
      <c r="I103" s="21"/>
      <c r="K103" s="21"/>
    </row>
    <row r="104" spans="1:19" ht="9.65" customHeight="1" thickBot="1" x14ac:dyDescent="0.5">
      <c r="A104" s="13"/>
      <c r="B104" s="139"/>
      <c r="C104" s="139"/>
      <c r="D104" s="132"/>
      <c r="E104" s="132"/>
      <c r="F104" s="132"/>
      <c r="G104" s="132"/>
      <c r="H104" s="132"/>
      <c r="I104" s="132"/>
      <c r="J104" s="13"/>
      <c r="K104" s="13"/>
      <c r="N104" s="13"/>
      <c r="O104" s="13"/>
      <c r="P104" s="13"/>
      <c r="Q104" s="13"/>
      <c r="R104" s="13"/>
    </row>
    <row r="105" spans="1:19" ht="32" x14ac:dyDescent="0.35">
      <c r="A105" s="13"/>
      <c r="B105" s="626" t="s">
        <v>68</v>
      </c>
      <c r="C105" s="626" t="s">
        <v>33</v>
      </c>
      <c r="D105" s="626" t="s">
        <v>34</v>
      </c>
      <c r="E105" s="626" t="s">
        <v>35</v>
      </c>
      <c r="F105" s="626" t="s">
        <v>36</v>
      </c>
      <c r="G105" s="296" t="s">
        <v>37</v>
      </c>
      <c r="H105" s="626" t="s">
        <v>68</v>
      </c>
      <c r="I105" s="626" t="s">
        <v>57</v>
      </c>
      <c r="J105" s="626" t="s">
        <v>39</v>
      </c>
      <c r="K105" s="13"/>
      <c r="L105" s="13"/>
      <c r="O105" s="13"/>
      <c r="P105" s="13"/>
      <c r="Q105" s="13"/>
      <c r="R105" s="13"/>
      <c r="S105" s="13"/>
    </row>
    <row r="106" spans="1:19" ht="16.5" x14ac:dyDescent="0.45">
      <c r="A106" s="13"/>
      <c r="B106" s="272" t="s">
        <v>32</v>
      </c>
      <c r="C106" s="438" t="s">
        <v>111</v>
      </c>
      <c r="D106" s="438" t="s">
        <v>112</v>
      </c>
      <c r="E106" s="438" t="s">
        <v>113</v>
      </c>
      <c r="F106" s="300" t="s">
        <v>114</v>
      </c>
      <c r="G106" s="303" t="s">
        <v>115</v>
      </c>
      <c r="H106" s="272" t="s">
        <v>32</v>
      </c>
      <c r="I106" s="277" t="s">
        <v>107</v>
      </c>
      <c r="J106" s="277" t="s">
        <v>116</v>
      </c>
      <c r="K106" s="13"/>
      <c r="O106" s="13"/>
      <c r="P106" s="13"/>
      <c r="Q106" s="13"/>
      <c r="R106" s="13"/>
      <c r="S106" s="13"/>
    </row>
    <row r="107" spans="1:19" ht="16.5" x14ac:dyDescent="0.45">
      <c r="A107" s="13"/>
      <c r="B107" s="291" t="s">
        <v>69</v>
      </c>
      <c r="C107" s="439" t="s">
        <v>117</v>
      </c>
      <c r="D107" s="439" t="s">
        <v>117</v>
      </c>
      <c r="E107" s="439" t="s">
        <v>118</v>
      </c>
      <c r="F107" s="301" t="s">
        <v>118</v>
      </c>
      <c r="G107" s="304" t="s">
        <v>119</v>
      </c>
      <c r="H107" s="291" t="s">
        <v>69</v>
      </c>
      <c r="I107" s="269" t="s">
        <v>120</v>
      </c>
      <c r="J107" s="269" t="s">
        <v>121</v>
      </c>
      <c r="K107" s="13"/>
      <c r="O107" s="13"/>
      <c r="P107" s="13"/>
      <c r="Q107" s="13"/>
      <c r="R107" s="13"/>
      <c r="S107" s="13"/>
    </row>
    <row r="108" spans="1:19" ht="16.5" x14ac:dyDescent="0.45">
      <c r="A108" s="13"/>
      <c r="B108" s="291" t="s">
        <v>70</v>
      </c>
      <c r="C108" s="439" t="s">
        <v>122</v>
      </c>
      <c r="D108" s="439" t="s">
        <v>122</v>
      </c>
      <c r="E108" s="439" t="s">
        <v>123</v>
      </c>
      <c r="F108" s="301" t="s">
        <v>123</v>
      </c>
      <c r="G108" s="304" t="s">
        <v>124</v>
      </c>
      <c r="H108" s="291" t="s">
        <v>70</v>
      </c>
      <c r="I108" s="269" t="s">
        <v>125</v>
      </c>
      <c r="J108" s="269" t="s">
        <v>126</v>
      </c>
      <c r="K108" s="13"/>
      <c r="O108" s="13"/>
      <c r="P108" s="13"/>
      <c r="Q108" s="13"/>
      <c r="R108" s="13"/>
      <c r="S108" s="13"/>
    </row>
    <row r="109" spans="1:19" ht="32" x14ac:dyDescent="0.45">
      <c r="A109" s="13"/>
      <c r="B109" s="291" t="s">
        <v>71</v>
      </c>
      <c r="C109" s="439" t="s">
        <v>127</v>
      </c>
      <c r="D109" s="439" t="s">
        <v>127</v>
      </c>
      <c r="E109" s="439" t="s">
        <v>128</v>
      </c>
      <c r="F109" s="301" t="s">
        <v>128</v>
      </c>
      <c r="G109" s="304" t="s">
        <v>117</v>
      </c>
      <c r="H109" s="291" t="s">
        <v>71</v>
      </c>
      <c r="I109" s="269" t="s">
        <v>129</v>
      </c>
      <c r="J109" s="269" t="s">
        <v>130</v>
      </c>
      <c r="K109" s="13"/>
      <c r="O109" s="13"/>
      <c r="P109" s="13"/>
      <c r="Q109" s="13"/>
      <c r="R109" s="13"/>
      <c r="S109" s="13"/>
    </row>
    <row r="110" spans="1:19" ht="16.5" x14ac:dyDescent="0.45">
      <c r="A110" s="13"/>
      <c r="B110" s="291" t="s">
        <v>50</v>
      </c>
      <c r="C110" s="531" t="s">
        <v>59</v>
      </c>
      <c r="D110" s="439" t="s">
        <v>131</v>
      </c>
      <c r="E110" s="439" t="s">
        <v>132</v>
      </c>
      <c r="F110" s="301" t="s">
        <v>132</v>
      </c>
      <c r="G110" s="304" t="s">
        <v>133</v>
      </c>
      <c r="H110" s="291" t="s">
        <v>50</v>
      </c>
      <c r="I110" s="269" t="s">
        <v>134</v>
      </c>
      <c r="J110" s="269" t="s">
        <v>104</v>
      </c>
      <c r="K110" s="13"/>
      <c r="O110" s="13"/>
      <c r="P110" s="13"/>
      <c r="Q110" s="13"/>
      <c r="R110" s="13"/>
      <c r="S110" s="13"/>
    </row>
    <row r="111" spans="1:19" ht="17" thickBot="1" x14ac:dyDescent="0.5">
      <c r="A111" s="13"/>
      <c r="B111" s="292" t="s">
        <v>72</v>
      </c>
      <c r="C111" s="440" t="s">
        <v>135</v>
      </c>
      <c r="D111" s="440" t="s">
        <v>135</v>
      </c>
      <c r="E111" s="440" t="s">
        <v>136</v>
      </c>
      <c r="F111" s="302" t="s">
        <v>136</v>
      </c>
      <c r="G111" s="305" t="s">
        <v>137</v>
      </c>
      <c r="H111" s="291" t="s">
        <v>73</v>
      </c>
      <c r="I111" s="269" t="s">
        <v>138</v>
      </c>
      <c r="J111" s="269" t="s">
        <v>139</v>
      </c>
      <c r="K111" s="13"/>
      <c r="N111" s="13"/>
      <c r="O111" s="13"/>
      <c r="P111" s="13"/>
      <c r="Q111" s="13"/>
      <c r="R111" s="13"/>
      <c r="S111" s="13"/>
    </row>
    <row r="112" spans="1:19" ht="18" thickBot="1" x14ac:dyDescent="0.5">
      <c r="A112" s="13"/>
      <c r="B112" s="139"/>
      <c r="F112" s="13"/>
      <c r="G112" s="132"/>
      <c r="H112" s="292" t="s">
        <v>72</v>
      </c>
      <c r="I112" s="290" t="s">
        <v>140</v>
      </c>
      <c r="J112" s="290" t="s">
        <v>141</v>
      </c>
      <c r="K112" s="13"/>
      <c r="N112" s="13"/>
      <c r="O112" s="13"/>
      <c r="P112" s="13"/>
      <c r="Q112" s="13"/>
      <c r="R112" s="13"/>
      <c r="S112" s="13"/>
    </row>
    <row r="113" spans="1:20" ht="17.5" x14ac:dyDescent="0.45">
      <c r="A113" s="13"/>
      <c r="B113" s="13"/>
      <c r="C113" s="13"/>
      <c r="D113" s="132"/>
      <c r="E113" s="132"/>
      <c r="F113" s="132"/>
      <c r="G113" s="132"/>
      <c r="H113" s="132"/>
      <c r="I113" s="132"/>
      <c r="J113" s="13"/>
      <c r="K113" s="13"/>
      <c r="L113" s="13"/>
      <c r="M113" s="13"/>
      <c r="N113" s="13"/>
      <c r="O113" s="13"/>
      <c r="P113" s="13"/>
      <c r="Q113" s="13"/>
      <c r="R113" s="13"/>
    </row>
    <row r="114" spans="1:20" s="9" customFormat="1" ht="17.5" x14ac:dyDescent="0.45">
      <c r="B114" s="15" t="s">
        <v>19</v>
      </c>
      <c r="C114" s="15"/>
      <c r="D114" s="21"/>
      <c r="E114" s="21"/>
      <c r="F114" s="21"/>
      <c r="G114" s="21"/>
      <c r="H114" s="21"/>
      <c r="I114" s="21"/>
      <c r="K114" s="21"/>
    </row>
    <row r="115" spans="1:20" ht="10.15" customHeight="1" thickBot="1" x14ac:dyDescent="0.5">
      <c r="A115" s="13"/>
      <c r="B115" s="139"/>
      <c r="C115" s="139"/>
      <c r="D115" s="132"/>
      <c r="E115" s="132"/>
      <c r="F115" s="132"/>
      <c r="G115" s="132"/>
      <c r="H115" s="132"/>
      <c r="I115" s="132"/>
      <c r="J115" s="13"/>
      <c r="K115" s="13"/>
      <c r="L115" s="13"/>
      <c r="M115" s="13"/>
      <c r="N115" s="13"/>
      <c r="O115" s="13"/>
      <c r="P115" s="13"/>
      <c r="Q115" s="13"/>
      <c r="R115" s="13"/>
    </row>
    <row r="116" spans="1:20" ht="16.5" thickBot="1" x14ac:dyDescent="0.4">
      <c r="A116" s="13"/>
      <c r="B116" s="650" t="s">
        <v>142</v>
      </c>
      <c r="C116" s="645" t="s">
        <v>33</v>
      </c>
      <c r="D116" s="646"/>
      <c r="E116" s="645" t="s">
        <v>34</v>
      </c>
      <c r="F116" s="646"/>
      <c r="G116" s="645" t="s">
        <v>35</v>
      </c>
      <c r="H116" s="646"/>
      <c r="I116" s="645" t="s">
        <v>36</v>
      </c>
      <c r="J116" s="646"/>
      <c r="K116" s="164"/>
      <c r="L116" s="164"/>
      <c r="N116" s="13"/>
      <c r="O116" s="13"/>
      <c r="P116" s="13"/>
      <c r="Q116" s="13"/>
      <c r="R116" s="13"/>
      <c r="S116" s="13"/>
      <c r="T116" s="13"/>
    </row>
    <row r="117" spans="1:20" ht="16.5" thickBot="1" x14ac:dyDescent="0.4">
      <c r="A117" s="13"/>
      <c r="B117" s="651"/>
      <c r="C117" s="320" t="s">
        <v>143</v>
      </c>
      <c r="D117" s="320" t="s">
        <v>144</v>
      </c>
      <c r="E117" s="320" t="s">
        <v>143</v>
      </c>
      <c r="F117" s="320" t="s">
        <v>144</v>
      </c>
      <c r="G117" s="320" t="s">
        <v>143</v>
      </c>
      <c r="H117" s="320" t="s">
        <v>144</v>
      </c>
      <c r="I117" s="320" t="s">
        <v>143</v>
      </c>
      <c r="J117" s="320" t="s">
        <v>144</v>
      </c>
      <c r="K117" s="164"/>
      <c r="L117" s="164"/>
      <c r="N117" s="13"/>
      <c r="O117" s="13"/>
      <c r="P117" s="13"/>
      <c r="Q117" s="13"/>
      <c r="R117" s="13"/>
      <c r="S117" s="13"/>
      <c r="T117" s="13"/>
    </row>
    <row r="118" spans="1:20" ht="16.5" x14ac:dyDescent="0.45">
      <c r="A118" s="13"/>
      <c r="B118" s="272" t="s">
        <v>32</v>
      </c>
      <c r="C118" s="449">
        <v>53.69</v>
      </c>
      <c r="D118" s="449">
        <v>46.31</v>
      </c>
      <c r="E118" s="449">
        <v>53.1</v>
      </c>
      <c r="F118" s="449">
        <v>46.9</v>
      </c>
      <c r="G118" s="449">
        <v>55.07</v>
      </c>
      <c r="H118" s="449">
        <v>44.93</v>
      </c>
      <c r="I118" s="317">
        <v>60.52</v>
      </c>
      <c r="J118" s="317">
        <v>39.479999999999997</v>
      </c>
      <c r="K118" s="164"/>
      <c r="L118" s="164"/>
      <c r="N118" s="13"/>
      <c r="O118" s="13"/>
      <c r="P118" s="13"/>
      <c r="Q118" s="13"/>
      <c r="R118" s="13"/>
      <c r="S118" s="13"/>
      <c r="T118" s="13"/>
    </row>
    <row r="119" spans="1:20" ht="16.5" x14ac:dyDescent="0.45">
      <c r="A119" s="13"/>
      <c r="B119" s="291" t="s">
        <v>69</v>
      </c>
      <c r="C119" s="447">
        <v>58.71</v>
      </c>
      <c r="D119" s="447">
        <v>41.29</v>
      </c>
      <c r="E119" s="447">
        <v>58.71</v>
      </c>
      <c r="F119" s="447">
        <v>41.27</v>
      </c>
      <c r="G119" s="447">
        <v>58.7</v>
      </c>
      <c r="H119" s="447">
        <v>41.3</v>
      </c>
      <c r="I119" s="318">
        <v>69.38</v>
      </c>
      <c r="J119" s="318">
        <v>30.62</v>
      </c>
      <c r="K119" s="164"/>
      <c r="L119" s="164"/>
      <c r="M119" s="13"/>
      <c r="N119" s="13"/>
      <c r="O119" s="13"/>
      <c r="P119" s="13"/>
      <c r="Q119" s="13"/>
      <c r="R119" s="13"/>
      <c r="S119" s="13"/>
      <c r="T119" s="13"/>
    </row>
    <row r="120" spans="1:20" ht="16.5" x14ac:dyDescent="0.45">
      <c r="A120" s="13"/>
      <c r="B120" s="291" t="s">
        <v>70</v>
      </c>
      <c r="C120" s="447">
        <v>47.65</v>
      </c>
      <c r="D120" s="447">
        <v>52.35</v>
      </c>
      <c r="E120" s="447">
        <v>47.65</v>
      </c>
      <c r="F120" s="447">
        <v>52.35</v>
      </c>
      <c r="G120" s="447">
        <v>50.3</v>
      </c>
      <c r="H120" s="447">
        <v>47.7</v>
      </c>
      <c r="I120" s="318">
        <v>58.02</v>
      </c>
      <c r="J120" s="318">
        <v>41.98</v>
      </c>
      <c r="K120" s="164"/>
      <c r="L120" s="164"/>
      <c r="M120" s="13"/>
      <c r="N120" s="13"/>
      <c r="O120" s="13"/>
      <c r="P120" s="13"/>
      <c r="Q120" s="13"/>
      <c r="R120" s="13"/>
      <c r="S120" s="13"/>
      <c r="T120" s="13"/>
    </row>
    <row r="121" spans="1:20" ht="16.5" x14ac:dyDescent="0.45">
      <c r="A121" s="13"/>
      <c r="B121" s="291" t="s">
        <v>71</v>
      </c>
      <c r="C121" s="447">
        <v>63.81</v>
      </c>
      <c r="D121" s="447">
        <v>36.19</v>
      </c>
      <c r="E121" s="447">
        <v>63.81</v>
      </c>
      <c r="F121" s="447">
        <v>36.19</v>
      </c>
      <c r="G121" s="447">
        <v>64.78</v>
      </c>
      <c r="H121" s="447">
        <v>35.22</v>
      </c>
      <c r="I121" s="318">
        <v>59.69</v>
      </c>
      <c r="J121" s="318">
        <v>40.31</v>
      </c>
      <c r="K121" s="164"/>
      <c r="L121" s="164"/>
      <c r="O121" s="13"/>
      <c r="P121" s="13"/>
      <c r="Q121" s="13"/>
      <c r="R121" s="13"/>
      <c r="S121" s="13"/>
      <c r="T121" s="13"/>
    </row>
    <row r="122" spans="1:20" ht="16.5" x14ac:dyDescent="0.45">
      <c r="A122" s="13"/>
      <c r="B122" s="291" t="s">
        <v>50</v>
      </c>
      <c r="C122" s="531" t="s">
        <v>59</v>
      </c>
      <c r="D122" s="531" t="s">
        <v>59</v>
      </c>
      <c r="E122" s="447">
        <v>46.7</v>
      </c>
      <c r="F122" s="447">
        <v>53.3</v>
      </c>
      <c r="G122" s="447">
        <v>53.25</v>
      </c>
      <c r="H122" s="447">
        <v>46.75</v>
      </c>
      <c r="I122" s="318">
        <v>56.43</v>
      </c>
      <c r="J122" s="318">
        <v>43.57</v>
      </c>
      <c r="K122" s="164"/>
      <c r="L122" s="164"/>
      <c r="O122" s="13"/>
      <c r="P122" s="13"/>
      <c r="Q122" s="13"/>
      <c r="R122" s="13"/>
      <c r="S122" s="13"/>
      <c r="T122" s="13"/>
    </row>
    <row r="123" spans="1:20" ht="17" thickBot="1" x14ac:dyDescent="0.5">
      <c r="A123" s="13"/>
      <c r="B123" s="292" t="s">
        <v>72</v>
      </c>
      <c r="C123" s="448">
        <v>53.69</v>
      </c>
      <c r="D123" s="448">
        <v>46.31</v>
      </c>
      <c r="E123" s="448">
        <v>54.72</v>
      </c>
      <c r="F123" s="448">
        <v>45.28</v>
      </c>
      <c r="G123" s="448">
        <v>55.07</v>
      </c>
      <c r="H123" s="448">
        <v>44.93</v>
      </c>
      <c r="I123" s="319">
        <v>53.91</v>
      </c>
      <c r="J123" s="319">
        <v>39.479999999999997</v>
      </c>
      <c r="K123" s="164"/>
      <c r="L123" s="164"/>
      <c r="O123" s="13"/>
      <c r="P123" s="13"/>
      <c r="Q123" s="13"/>
      <c r="R123" s="13"/>
      <c r="S123" s="13"/>
      <c r="T123" s="13"/>
    </row>
    <row r="124" spans="1:20" ht="8.5" customHeight="1" thickBot="1" x14ac:dyDescent="0.4">
      <c r="A124" s="13"/>
      <c r="B124" s="13"/>
      <c r="C124" s="13"/>
      <c r="D124" s="13"/>
      <c r="E124" s="13"/>
      <c r="K124" s="164"/>
      <c r="L124" s="164"/>
      <c r="O124" s="13"/>
      <c r="P124" s="13"/>
      <c r="Q124" s="13"/>
      <c r="R124" s="13"/>
      <c r="S124" s="13"/>
      <c r="T124" s="13"/>
    </row>
    <row r="125" spans="1:20" ht="16.5" thickBot="1" x14ac:dyDescent="0.4">
      <c r="A125" s="13"/>
      <c r="B125" s="650" t="s">
        <v>145</v>
      </c>
      <c r="C125" s="645" t="s">
        <v>33</v>
      </c>
      <c r="D125" s="646"/>
      <c r="E125" s="645" t="s">
        <v>34</v>
      </c>
      <c r="F125" s="646"/>
      <c r="G125" s="645" t="s">
        <v>35</v>
      </c>
      <c r="H125" s="646"/>
      <c r="I125" s="645" t="s">
        <v>36</v>
      </c>
      <c r="J125" s="646"/>
      <c r="K125" s="164"/>
      <c r="L125" s="164"/>
      <c r="O125" s="13"/>
      <c r="P125" s="13"/>
      <c r="Q125" s="13"/>
      <c r="R125" s="13"/>
      <c r="S125" s="13"/>
      <c r="T125" s="13"/>
    </row>
    <row r="126" spans="1:20" ht="16.5" thickBot="1" x14ac:dyDescent="0.4">
      <c r="A126" s="13"/>
      <c r="B126" s="651"/>
      <c r="C126" s="320" t="s">
        <v>143</v>
      </c>
      <c r="D126" s="320" t="s">
        <v>144</v>
      </c>
      <c r="E126" s="320" t="s">
        <v>143</v>
      </c>
      <c r="F126" s="320" t="s">
        <v>144</v>
      </c>
      <c r="G126" s="320" t="s">
        <v>143</v>
      </c>
      <c r="H126" s="320" t="s">
        <v>144</v>
      </c>
      <c r="I126" s="320" t="s">
        <v>143</v>
      </c>
      <c r="J126" s="320" t="s">
        <v>144</v>
      </c>
      <c r="K126" s="164"/>
      <c r="L126" s="164"/>
      <c r="O126" s="13"/>
      <c r="P126" s="13"/>
      <c r="Q126" s="13"/>
      <c r="R126" s="13"/>
      <c r="S126" s="13"/>
      <c r="T126" s="13"/>
    </row>
    <row r="127" spans="1:20" ht="16.5" x14ac:dyDescent="0.45">
      <c r="A127" s="13"/>
      <c r="B127" s="272" t="s">
        <v>32</v>
      </c>
      <c r="C127" s="449">
        <v>93.55</v>
      </c>
      <c r="D127" s="449">
        <v>6.45</v>
      </c>
      <c r="E127" s="449">
        <v>93.22</v>
      </c>
      <c r="F127" s="449">
        <v>6.78</v>
      </c>
      <c r="G127" s="449">
        <v>93.25</v>
      </c>
      <c r="H127" s="449">
        <v>6.75</v>
      </c>
      <c r="I127" s="317">
        <v>92.47</v>
      </c>
      <c r="J127" s="317">
        <v>7.53</v>
      </c>
      <c r="K127" s="164"/>
      <c r="L127" s="164"/>
      <c r="O127" s="13"/>
      <c r="P127" s="13"/>
      <c r="Q127" s="13"/>
      <c r="R127" s="13"/>
      <c r="S127" s="13"/>
      <c r="T127" s="13"/>
    </row>
    <row r="128" spans="1:20" ht="16.5" x14ac:dyDescent="0.45">
      <c r="A128" s="13"/>
      <c r="B128" s="291" t="s">
        <v>69</v>
      </c>
      <c r="C128" s="447">
        <v>95.85</v>
      </c>
      <c r="D128" s="447">
        <v>4.1500000000000004</v>
      </c>
      <c r="E128" s="447">
        <v>95.85</v>
      </c>
      <c r="F128" s="447">
        <v>4.1500000000000004</v>
      </c>
      <c r="G128" s="447">
        <v>95.78</v>
      </c>
      <c r="H128" s="447">
        <v>4.22</v>
      </c>
      <c r="I128" s="318">
        <v>95.87</v>
      </c>
      <c r="J128" s="318">
        <v>4.13</v>
      </c>
      <c r="K128" s="164"/>
      <c r="L128" s="164"/>
      <c r="O128" s="13"/>
      <c r="P128" s="13"/>
      <c r="Q128" s="13"/>
      <c r="R128" s="13"/>
      <c r="S128" s="13"/>
      <c r="T128" s="13"/>
    </row>
    <row r="129" spans="1:20" ht="16.5" x14ac:dyDescent="0.45">
      <c r="A129" s="13"/>
      <c r="B129" s="291" t="s">
        <v>70</v>
      </c>
      <c r="C129" s="447">
        <v>90.99</v>
      </c>
      <c r="D129" s="447">
        <v>9.01</v>
      </c>
      <c r="E129" s="447">
        <v>90.99</v>
      </c>
      <c r="F129" s="447">
        <v>9.01</v>
      </c>
      <c r="G129" s="447">
        <v>90.09</v>
      </c>
      <c r="H129" s="447">
        <v>9.91</v>
      </c>
      <c r="I129" s="318">
        <v>89.18</v>
      </c>
      <c r="J129" s="318">
        <v>10.82</v>
      </c>
      <c r="K129" s="164"/>
      <c r="L129" s="164"/>
      <c r="O129" s="13"/>
      <c r="P129" s="13"/>
      <c r="Q129" s="13"/>
      <c r="R129" s="13"/>
      <c r="S129" s="13"/>
      <c r="T129" s="13"/>
    </row>
    <row r="130" spans="1:20" ht="16.5" x14ac:dyDescent="0.45">
      <c r="A130" s="13"/>
      <c r="B130" s="291" t="s">
        <v>71</v>
      </c>
      <c r="C130" s="447">
        <v>94.58</v>
      </c>
      <c r="D130" s="447">
        <v>5.42</v>
      </c>
      <c r="E130" s="447">
        <v>94.58</v>
      </c>
      <c r="F130" s="447">
        <v>5.42</v>
      </c>
      <c r="G130" s="447">
        <v>95.27</v>
      </c>
      <c r="H130" s="447">
        <v>4.7300000000000004</v>
      </c>
      <c r="I130" s="318">
        <v>96.49</v>
      </c>
      <c r="J130" s="318">
        <v>3.51</v>
      </c>
      <c r="K130" s="164"/>
      <c r="L130" s="164"/>
      <c r="O130" s="13"/>
      <c r="P130" s="13"/>
      <c r="Q130" s="13"/>
      <c r="R130" s="13"/>
      <c r="S130" s="13"/>
      <c r="T130" s="13"/>
    </row>
    <row r="131" spans="1:20" ht="16.5" x14ac:dyDescent="0.45">
      <c r="A131" s="13"/>
      <c r="B131" s="291" t="s">
        <v>50</v>
      </c>
      <c r="C131" s="531" t="s">
        <v>59</v>
      </c>
      <c r="D131" s="531" t="s">
        <v>59</v>
      </c>
      <c r="E131" s="447">
        <v>89.45</v>
      </c>
      <c r="F131" s="447">
        <v>10.55</v>
      </c>
      <c r="G131" s="447" t="s">
        <v>59</v>
      </c>
      <c r="H131" s="447" t="s">
        <v>59</v>
      </c>
      <c r="I131" s="318">
        <v>87.26</v>
      </c>
      <c r="J131" s="318">
        <v>12.74</v>
      </c>
      <c r="K131" s="164"/>
      <c r="L131" s="164"/>
      <c r="O131" s="13"/>
      <c r="P131" s="13"/>
      <c r="Q131" s="13"/>
      <c r="R131" s="13"/>
      <c r="S131" s="13"/>
      <c r="T131" s="13"/>
    </row>
    <row r="132" spans="1:20" ht="17" thickBot="1" x14ac:dyDescent="0.5">
      <c r="A132" s="13"/>
      <c r="B132" s="292" t="s">
        <v>72</v>
      </c>
      <c r="C132" s="448">
        <v>0</v>
      </c>
      <c r="D132" s="448">
        <v>0</v>
      </c>
      <c r="E132" s="448">
        <v>0</v>
      </c>
      <c r="F132" s="448">
        <v>0</v>
      </c>
      <c r="G132" s="448">
        <v>0</v>
      </c>
      <c r="H132" s="448">
        <v>0</v>
      </c>
      <c r="I132" s="319">
        <v>52.38</v>
      </c>
      <c r="J132" s="319">
        <v>47.62</v>
      </c>
      <c r="K132" s="164"/>
      <c r="L132" s="164"/>
      <c r="O132" s="13"/>
      <c r="P132" s="13"/>
      <c r="Q132" s="13"/>
      <c r="R132" s="13"/>
      <c r="S132" s="13"/>
      <c r="T132" s="13"/>
    </row>
    <row r="133" spans="1:20" ht="17.5" x14ac:dyDescent="0.45">
      <c r="A133" s="13"/>
      <c r="B133" s="298"/>
      <c r="C133" s="316"/>
      <c r="D133" s="316"/>
      <c r="E133" s="132"/>
      <c r="F133" s="132"/>
      <c r="G133" s="132"/>
      <c r="H133" s="146"/>
      <c r="I133" s="164"/>
      <c r="J133" s="164"/>
      <c r="K133" s="13"/>
      <c r="L133" s="13"/>
      <c r="M133" s="13"/>
      <c r="N133" s="13"/>
      <c r="O133" s="13"/>
      <c r="P133" s="13"/>
      <c r="Q133" s="13"/>
      <c r="R133" s="13"/>
    </row>
    <row r="134" spans="1:20" s="9" customFormat="1" ht="17.5" x14ac:dyDescent="0.45">
      <c r="B134" s="15" t="s">
        <v>21</v>
      </c>
      <c r="C134" s="15"/>
      <c r="D134" s="21"/>
      <c r="E134" s="21"/>
      <c r="F134" s="21"/>
      <c r="G134" s="21"/>
      <c r="H134" s="21"/>
      <c r="I134" s="21"/>
      <c r="K134" s="21"/>
    </row>
    <row r="135" spans="1:20" ht="8.5" customHeight="1" thickBot="1" x14ac:dyDescent="0.5">
      <c r="A135" s="13"/>
      <c r="B135" s="143"/>
      <c r="C135" s="143"/>
      <c r="D135" s="132"/>
      <c r="E135" s="132"/>
      <c r="F135" s="132"/>
      <c r="G135" s="132"/>
      <c r="H135" s="132"/>
      <c r="I135" s="132"/>
      <c r="J135" s="13"/>
      <c r="K135" s="13"/>
      <c r="L135" s="13"/>
      <c r="M135" s="13"/>
      <c r="N135" s="13"/>
      <c r="O135" s="13"/>
      <c r="P135" s="13"/>
      <c r="Q135" s="13"/>
      <c r="R135" s="13"/>
    </row>
    <row r="136" spans="1:20" ht="16.5" thickBot="1" x14ac:dyDescent="0.4">
      <c r="A136" s="13"/>
      <c r="B136" s="650" t="s">
        <v>146</v>
      </c>
      <c r="C136" s="645" t="s">
        <v>33</v>
      </c>
      <c r="D136" s="646"/>
      <c r="E136" s="645" t="s">
        <v>34</v>
      </c>
      <c r="F136" s="646"/>
      <c r="G136" s="645" t="s">
        <v>35</v>
      </c>
      <c r="H136" s="646"/>
      <c r="I136" s="645" t="s">
        <v>36</v>
      </c>
      <c r="J136" s="646"/>
      <c r="K136" s="647" t="s">
        <v>37</v>
      </c>
      <c r="L136" s="648"/>
      <c r="M136" s="647" t="s">
        <v>57</v>
      </c>
      <c r="N136" s="648"/>
      <c r="O136" s="647" t="s">
        <v>39</v>
      </c>
      <c r="P136" s="648"/>
      <c r="Q136" s="13"/>
      <c r="R136" s="13"/>
      <c r="S136" s="13"/>
      <c r="T136" s="13"/>
    </row>
    <row r="137" spans="1:20" ht="16.5" thickBot="1" x14ac:dyDescent="0.4">
      <c r="A137" s="13"/>
      <c r="B137" s="664"/>
      <c r="C137" s="320" t="s">
        <v>147</v>
      </c>
      <c r="D137" s="625" t="s">
        <v>148</v>
      </c>
      <c r="E137" s="320" t="s">
        <v>147</v>
      </c>
      <c r="F137" s="625" t="s">
        <v>148</v>
      </c>
      <c r="G137" s="625" t="s">
        <v>147</v>
      </c>
      <c r="H137" s="625" t="s">
        <v>148</v>
      </c>
      <c r="I137" s="320" t="s">
        <v>147</v>
      </c>
      <c r="J137" s="625" t="s">
        <v>148</v>
      </c>
      <c r="K137" s="320" t="s">
        <v>147</v>
      </c>
      <c r="L137" s="625" t="s">
        <v>148</v>
      </c>
      <c r="M137" s="320" t="s">
        <v>147</v>
      </c>
      <c r="N137" s="625" t="s">
        <v>148</v>
      </c>
      <c r="O137" s="320" t="s">
        <v>147</v>
      </c>
      <c r="P137" s="625" t="s">
        <v>148</v>
      </c>
      <c r="Q137" s="13"/>
      <c r="R137" s="13"/>
      <c r="S137" s="13"/>
      <c r="T137" s="13"/>
    </row>
    <row r="138" spans="1:20" ht="16" x14ac:dyDescent="0.35">
      <c r="A138" s="13"/>
      <c r="B138" s="272" t="s">
        <v>32</v>
      </c>
      <c r="C138" s="441">
        <v>93.6</v>
      </c>
      <c r="D138" s="450">
        <v>6.4</v>
      </c>
      <c r="E138" s="441">
        <v>93.7</v>
      </c>
      <c r="F138" s="453">
        <v>6.3</v>
      </c>
      <c r="G138" s="453">
        <v>94.7</v>
      </c>
      <c r="H138" s="453">
        <v>5.3</v>
      </c>
      <c r="I138" s="326">
        <v>95.2</v>
      </c>
      <c r="J138" s="327">
        <v>4.8</v>
      </c>
      <c r="K138" s="326">
        <v>98.4</v>
      </c>
      <c r="L138" s="327">
        <v>1.6</v>
      </c>
      <c r="M138" s="326">
        <v>95.8</v>
      </c>
      <c r="N138" s="327">
        <v>4.2</v>
      </c>
      <c r="O138" s="326">
        <v>98.6</v>
      </c>
      <c r="P138" s="327">
        <v>1.4</v>
      </c>
      <c r="Q138" s="13"/>
      <c r="R138" s="13"/>
      <c r="S138" s="13"/>
      <c r="T138" s="13"/>
    </row>
    <row r="139" spans="1:20" ht="16" x14ac:dyDescent="0.35">
      <c r="A139" s="13"/>
      <c r="B139" s="291" t="s">
        <v>143</v>
      </c>
      <c r="C139" s="442">
        <v>95.7</v>
      </c>
      <c r="D139" s="451">
        <v>4.3</v>
      </c>
      <c r="E139" s="442">
        <v>95.8</v>
      </c>
      <c r="F139" s="454">
        <v>4.2</v>
      </c>
      <c r="G139" s="454">
        <v>95.6</v>
      </c>
      <c r="H139" s="454">
        <v>4.4000000000000004</v>
      </c>
      <c r="I139" s="324">
        <v>96.1</v>
      </c>
      <c r="J139" s="322">
        <v>3.9</v>
      </c>
      <c r="K139" s="324">
        <v>99.6</v>
      </c>
      <c r="L139" s="322">
        <v>0.4</v>
      </c>
      <c r="M139" s="324">
        <v>96.7</v>
      </c>
      <c r="N139" s="322">
        <v>3.3</v>
      </c>
      <c r="O139" s="324">
        <v>99.1</v>
      </c>
      <c r="P139" s="322">
        <v>0.9</v>
      </c>
      <c r="Q139" s="13"/>
      <c r="R139" s="13"/>
      <c r="S139" s="13"/>
      <c r="T139" s="13"/>
    </row>
    <row r="140" spans="1:20" ht="16" x14ac:dyDescent="0.35">
      <c r="A140" s="13"/>
      <c r="B140" s="292" t="s">
        <v>144</v>
      </c>
      <c r="C140" s="443">
        <v>86.4</v>
      </c>
      <c r="D140" s="452">
        <v>13.6</v>
      </c>
      <c r="E140" s="443">
        <v>87.1</v>
      </c>
      <c r="F140" s="455">
        <v>12.9</v>
      </c>
      <c r="G140" s="455">
        <v>91.5</v>
      </c>
      <c r="H140" s="455">
        <v>8.5</v>
      </c>
      <c r="I140" s="325">
        <v>92.3</v>
      </c>
      <c r="J140" s="323">
        <v>7.7</v>
      </c>
      <c r="K140" s="325">
        <v>93.8</v>
      </c>
      <c r="L140" s="323">
        <v>6.2</v>
      </c>
      <c r="M140" s="325">
        <v>92.2</v>
      </c>
      <c r="N140" s="323">
        <v>7.8</v>
      </c>
      <c r="O140" s="325">
        <v>96.5</v>
      </c>
      <c r="P140" s="323">
        <v>3.5</v>
      </c>
      <c r="Q140" s="13"/>
      <c r="R140" s="13"/>
      <c r="S140" s="13"/>
      <c r="T140" s="13"/>
    </row>
    <row r="141" spans="1:20" ht="17.5" x14ac:dyDescent="0.45">
      <c r="A141" s="13"/>
      <c r="B141" s="143"/>
      <c r="C141" s="143"/>
      <c r="D141" s="132"/>
      <c r="E141" s="132"/>
      <c r="F141" s="132"/>
      <c r="G141" s="132"/>
      <c r="H141" s="132"/>
      <c r="I141" s="132"/>
      <c r="J141" s="13"/>
      <c r="K141" s="13"/>
      <c r="L141" s="13"/>
      <c r="M141" s="13"/>
      <c r="N141" s="13"/>
      <c r="O141" s="13"/>
      <c r="P141" s="13"/>
      <c r="Q141" s="13"/>
      <c r="R141" s="13"/>
    </row>
    <row r="142" spans="1:20" s="9" customFormat="1" ht="17.5" x14ac:dyDescent="0.45">
      <c r="B142" s="15" t="s">
        <v>23</v>
      </c>
      <c r="C142" s="15"/>
      <c r="D142" s="21"/>
      <c r="E142" s="21"/>
      <c r="F142" s="21"/>
      <c r="G142" s="21"/>
      <c r="H142" s="21"/>
      <c r="I142" s="21"/>
      <c r="K142" s="21"/>
    </row>
    <row r="143" spans="1:20" ht="6" customHeight="1" thickBot="1" x14ac:dyDescent="0.5">
      <c r="A143" s="13"/>
      <c r="B143" s="143"/>
      <c r="C143" s="143"/>
      <c r="D143" s="132"/>
      <c r="E143" s="132"/>
      <c r="F143" s="132"/>
      <c r="G143" s="132"/>
      <c r="H143" s="132"/>
      <c r="I143" s="132"/>
      <c r="J143" s="13"/>
      <c r="K143" s="13"/>
      <c r="L143" s="13"/>
      <c r="M143" s="13"/>
      <c r="O143" s="13"/>
      <c r="P143" s="13"/>
      <c r="Q143" s="13"/>
      <c r="R143" s="13"/>
    </row>
    <row r="144" spans="1:20" ht="16.5" thickBot="1" x14ac:dyDescent="0.4">
      <c r="A144" s="13"/>
      <c r="B144" s="650" t="s">
        <v>146</v>
      </c>
      <c r="C144" s="645" t="s">
        <v>33</v>
      </c>
      <c r="D144" s="646"/>
      <c r="E144" s="645" t="s">
        <v>34</v>
      </c>
      <c r="F144" s="646"/>
      <c r="G144" s="645" t="s">
        <v>35</v>
      </c>
      <c r="H144" s="646"/>
      <c r="I144" s="645" t="s">
        <v>36</v>
      </c>
      <c r="J144" s="646"/>
      <c r="K144" s="647" t="s">
        <v>37</v>
      </c>
      <c r="L144" s="648"/>
      <c r="M144" s="647" t="s">
        <v>57</v>
      </c>
      <c r="N144" s="648"/>
      <c r="O144" s="647" t="s">
        <v>39</v>
      </c>
      <c r="P144" s="648"/>
      <c r="Q144" s="13"/>
      <c r="R144" s="13"/>
      <c r="S144" s="13"/>
      <c r="T144" s="13"/>
    </row>
    <row r="145" spans="1:20" ht="16.5" thickBot="1" x14ac:dyDescent="0.4">
      <c r="A145" s="13"/>
      <c r="B145" s="665"/>
      <c r="C145" s="320" t="s">
        <v>147</v>
      </c>
      <c r="D145" s="625" t="s">
        <v>148</v>
      </c>
      <c r="E145" s="320" t="s">
        <v>147</v>
      </c>
      <c r="F145" s="625" t="s">
        <v>148</v>
      </c>
      <c r="G145" s="624" t="s">
        <v>149</v>
      </c>
      <c r="H145" s="624" t="s">
        <v>150</v>
      </c>
      <c r="I145" s="278" t="s">
        <v>149</v>
      </c>
      <c r="J145" s="278" t="s">
        <v>150</v>
      </c>
      <c r="K145" s="278" t="s">
        <v>149</v>
      </c>
      <c r="L145" s="278" t="s">
        <v>150</v>
      </c>
      <c r="M145" s="278" t="s">
        <v>149</v>
      </c>
      <c r="N145" s="278" t="s">
        <v>150</v>
      </c>
      <c r="O145" s="278" t="s">
        <v>149</v>
      </c>
      <c r="P145" s="278" t="s">
        <v>150</v>
      </c>
      <c r="Q145" s="13"/>
      <c r="R145" s="13"/>
      <c r="S145" s="13"/>
      <c r="T145" s="13"/>
    </row>
    <row r="146" spans="1:20" ht="16" x14ac:dyDescent="0.35">
      <c r="A146" s="13"/>
      <c r="B146" s="328" t="s">
        <v>32</v>
      </c>
      <c r="C146" s="441">
        <v>98.4</v>
      </c>
      <c r="D146" s="444">
        <v>1.6</v>
      </c>
      <c r="E146" s="441">
        <v>98.2</v>
      </c>
      <c r="F146" s="444">
        <v>1.8</v>
      </c>
      <c r="G146" s="444">
        <v>98.2</v>
      </c>
      <c r="H146" s="444">
        <v>1.8</v>
      </c>
      <c r="I146" s="326">
        <v>98</v>
      </c>
      <c r="J146" s="326">
        <v>2</v>
      </c>
      <c r="K146" s="326">
        <v>96.3</v>
      </c>
      <c r="L146" s="326">
        <v>3.7</v>
      </c>
      <c r="M146" s="326">
        <v>98.3</v>
      </c>
      <c r="N146" s="326">
        <v>1.7</v>
      </c>
      <c r="O146" s="326">
        <v>98</v>
      </c>
      <c r="P146" s="326">
        <v>2</v>
      </c>
      <c r="Q146" s="13"/>
      <c r="R146" s="13"/>
      <c r="S146" s="13"/>
      <c r="T146" s="13"/>
    </row>
    <row r="147" spans="1:20" ht="16" x14ac:dyDescent="0.35">
      <c r="A147" s="13"/>
      <c r="B147" s="297" t="s">
        <v>143</v>
      </c>
      <c r="C147" s="442">
        <v>99.5</v>
      </c>
      <c r="D147" s="445">
        <v>0.5</v>
      </c>
      <c r="E147" s="442">
        <v>99.5</v>
      </c>
      <c r="F147" s="445">
        <v>0.5</v>
      </c>
      <c r="G147" s="445">
        <v>99.4</v>
      </c>
      <c r="H147" s="445">
        <v>0.6</v>
      </c>
      <c r="I147" s="324">
        <v>99.4</v>
      </c>
      <c r="J147" s="324">
        <v>0.6</v>
      </c>
      <c r="K147" s="324">
        <v>97.2</v>
      </c>
      <c r="L147" s="324">
        <v>2.8</v>
      </c>
      <c r="M147" s="324">
        <v>99.5</v>
      </c>
      <c r="N147" s="324">
        <v>0.5</v>
      </c>
      <c r="O147" s="324">
        <v>99.5</v>
      </c>
      <c r="P147" s="324">
        <v>0.5</v>
      </c>
      <c r="Q147" s="13"/>
      <c r="R147" s="13"/>
      <c r="S147" s="13"/>
      <c r="T147" s="13"/>
    </row>
    <row r="148" spans="1:20" ht="16" x14ac:dyDescent="0.35">
      <c r="A148" s="13"/>
      <c r="B148" s="299" t="s">
        <v>144</v>
      </c>
      <c r="C148" s="443">
        <v>94.7</v>
      </c>
      <c r="D148" s="446">
        <v>5.3</v>
      </c>
      <c r="E148" s="443">
        <v>93.9</v>
      </c>
      <c r="F148" s="446">
        <v>6.1</v>
      </c>
      <c r="G148" s="446">
        <v>94.2</v>
      </c>
      <c r="H148" s="446">
        <v>5.8</v>
      </c>
      <c r="I148" s="325">
        <v>93.4</v>
      </c>
      <c r="J148" s="325">
        <v>6.6</v>
      </c>
      <c r="K148" s="325">
        <v>92.9</v>
      </c>
      <c r="L148" s="325">
        <v>7.1</v>
      </c>
      <c r="M148" s="325">
        <v>93.6</v>
      </c>
      <c r="N148" s="325">
        <v>6.4</v>
      </c>
      <c r="O148" s="325">
        <v>92.1</v>
      </c>
      <c r="P148" s="325">
        <v>7.9</v>
      </c>
      <c r="Q148" s="13"/>
      <c r="R148" s="13"/>
      <c r="S148" s="13"/>
      <c r="T148" s="13"/>
    </row>
    <row r="149" spans="1:20" ht="17.5" x14ac:dyDescent="0.45">
      <c r="A149" s="13"/>
      <c r="B149" s="143"/>
      <c r="C149" s="143"/>
      <c r="D149" s="132"/>
      <c r="E149" s="132"/>
      <c r="F149" s="132"/>
      <c r="G149" s="132"/>
      <c r="H149" s="132"/>
      <c r="I149" s="132"/>
      <c r="J149" s="13"/>
      <c r="K149" s="13"/>
      <c r="L149" s="13"/>
      <c r="M149" s="13"/>
      <c r="O149" s="13"/>
      <c r="P149" s="13"/>
      <c r="Q149" s="13"/>
      <c r="R149" s="13"/>
    </row>
    <row r="150" spans="1:20" s="9" customFormat="1" ht="17.5" x14ac:dyDescent="0.45">
      <c r="B150" s="15" t="s">
        <v>25</v>
      </c>
      <c r="C150" s="15"/>
      <c r="D150" s="21"/>
      <c r="E150" s="21"/>
      <c r="F150" s="21"/>
      <c r="G150" s="21"/>
      <c r="H150" s="21"/>
      <c r="I150" s="21"/>
      <c r="K150" s="21"/>
    </row>
    <row r="151" spans="1:20" ht="6.65" customHeight="1" thickBot="1" x14ac:dyDescent="0.5">
      <c r="A151" s="13"/>
      <c r="B151" s="139"/>
      <c r="C151" s="139"/>
      <c r="D151" s="132"/>
      <c r="E151" s="132"/>
      <c r="F151" s="132"/>
      <c r="G151" s="132"/>
      <c r="H151" s="132"/>
      <c r="I151" s="132"/>
      <c r="J151" s="13"/>
      <c r="K151" s="13"/>
      <c r="L151" s="13"/>
      <c r="M151" s="13"/>
      <c r="O151" s="13"/>
      <c r="P151" s="13"/>
      <c r="Q151" s="13"/>
      <c r="R151" s="13"/>
    </row>
    <row r="152" spans="1:20" ht="16.5" thickBot="1" x14ac:dyDescent="0.4">
      <c r="A152" s="13"/>
      <c r="B152" s="268" t="s">
        <v>46</v>
      </c>
      <c r="C152" s="268" t="s">
        <v>68</v>
      </c>
      <c r="D152" s="268" t="s">
        <v>151</v>
      </c>
      <c r="E152" s="268" t="s">
        <v>152</v>
      </c>
      <c r="F152" s="268" t="s">
        <v>153</v>
      </c>
      <c r="G152" s="268" t="s">
        <v>154</v>
      </c>
      <c r="H152" s="268" t="s">
        <v>155</v>
      </c>
      <c r="I152" s="268" t="s">
        <v>156</v>
      </c>
      <c r="J152" s="13"/>
      <c r="K152" s="13"/>
      <c r="L152" s="13"/>
      <c r="M152" s="13"/>
      <c r="O152" s="13"/>
      <c r="P152" s="13"/>
      <c r="Q152" s="13"/>
      <c r="R152" s="13"/>
    </row>
    <row r="153" spans="1:20" ht="16" x14ac:dyDescent="0.35">
      <c r="A153" s="13"/>
      <c r="B153" s="281" t="s">
        <v>157</v>
      </c>
      <c r="C153" s="281" t="s">
        <v>32</v>
      </c>
      <c r="D153" s="456">
        <v>0.20699999999999999</v>
      </c>
      <c r="E153" s="456">
        <v>0.16800000000000001</v>
      </c>
      <c r="F153" s="456">
        <v>0.311</v>
      </c>
      <c r="G153" s="456">
        <v>0.216</v>
      </c>
      <c r="H153" s="456">
        <v>9.0999999999999998E-2</v>
      </c>
      <c r="I153" s="456">
        <v>8.0000000000000002E-3</v>
      </c>
      <c r="J153" s="13"/>
      <c r="K153" s="13"/>
      <c r="L153" s="13"/>
      <c r="M153" s="13"/>
      <c r="O153" s="13"/>
      <c r="P153" s="13"/>
      <c r="Q153" s="13"/>
      <c r="R153" s="13"/>
    </row>
    <row r="154" spans="1:20" ht="16" x14ac:dyDescent="0.35">
      <c r="A154" s="13"/>
      <c r="B154" s="272" t="s">
        <v>158</v>
      </c>
      <c r="C154" s="291" t="s">
        <v>159</v>
      </c>
      <c r="D154" s="457">
        <v>0.23200000000000001</v>
      </c>
      <c r="E154" s="457">
        <v>0.161</v>
      </c>
      <c r="F154" s="457">
        <v>0.30099999999999999</v>
      </c>
      <c r="G154" s="457">
        <v>0.20599999999999999</v>
      </c>
      <c r="H154" s="457">
        <v>9.0999999999999998E-2</v>
      </c>
      <c r="I154" s="457">
        <v>8.9999999999999993E-3</v>
      </c>
      <c r="J154" s="13"/>
      <c r="K154" s="13"/>
      <c r="L154" s="13"/>
      <c r="M154" s="13"/>
      <c r="O154" s="13"/>
      <c r="P154" s="13"/>
      <c r="Q154" s="13"/>
      <c r="R154" s="13"/>
    </row>
    <row r="155" spans="1:20" ht="16" x14ac:dyDescent="0.35">
      <c r="A155" s="13"/>
      <c r="B155" s="272"/>
      <c r="C155" s="291" t="s">
        <v>70</v>
      </c>
      <c r="D155" s="457">
        <v>0.21099999999999999</v>
      </c>
      <c r="E155" s="457">
        <v>0.18099999999999999</v>
      </c>
      <c r="F155" s="457">
        <v>0.314</v>
      </c>
      <c r="G155" s="457">
        <v>0.21</v>
      </c>
      <c r="H155" s="457">
        <v>0.08</v>
      </c>
      <c r="I155" s="457">
        <v>3.0000000000000001E-3</v>
      </c>
      <c r="J155" s="13"/>
      <c r="K155" s="13"/>
      <c r="L155" s="13"/>
      <c r="M155" s="13"/>
      <c r="O155" s="13"/>
      <c r="P155" s="13"/>
      <c r="Q155" s="13"/>
      <c r="R155" s="13"/>
    </row>
    <row r="156" spans="1:20" ht="16" x14ac:dyDescent="0.35">
      <c r="A156" s="13"/>
      <c r="B156" s="272"/>
      <c r="C156" s="291" t="s">
        <v>71</v>
      </c>
      <c r="D156" s="457">
        <v>0.14799999999999999</v>
      </c>
      <c r="E156" s="457">
        <v>0.152</v>
      </c>
      <c r="F156" s="457">
        <v>0.312</v>
      </c>
      <c r="G156" s="457">
        <v>0.246</v>
      </c>
      <c r="H156" s="457">
        <v>0.122</v>
      </c>
      <c r="I156" s="457">
        <v>0.02</v>
      </c>
      <c r="J156" s="13"/>
      <c r="K156" s="13"/>
      <c r="L156" s="13"/>
      <c r="M156" s="13"/>
      <c r="O156" s="13"/>
      <c r="P156" s="13"/>
      <c r="Q156" s="13"/>
      <c r="R156" s="13"/>
    </row>
    <row r="157" spans="1:20" ht="16.5" x14ac:dyDescent="0.45">
      <c r="A157" s="13"/>
      <c r="B157" s="272"/>
      <c r="C157" s="291" t="s">
        <v>50</v>
      </c>
      <c r="D157" s="531" t="s">
        <v>59</v>
      </c>
      <c r="E157" s="531" t="s">
        <v>59</v>
      </c>
      <c r="F157" s="531" t="s">
        <v>59</v>
      </c>
      <c r="G157" s="531" t="s">
        <v>59</v>
      </c>
      <c r="H157" s="531" t="s">
        <v>59</v>
      </c>
      <c r="I157" s="531" t="s">
        <v>59</v>
      </c>
      <c r="J157" s="13"/>
      <c r="K157" s="13"/>
      <c r="L157" s="13"/>
      <c r="M157" s="13"/>
      <c r="O157" s="13"/>
      <c r="P157" s="13"/>
      <c r="Q157" s="13"/>
      <c r="R157" s="13"/>
    </row>
    <row r="158" spans="1:20" ht="16.5" thickBot="1" x14ac:dyDescent="0.4">
      <c r="A158" s="13"/>
      <c r="B158" s="284"/>
      <c r="C158" s="292" t="s">
        <v>72</v>
      </c>
      <c r="D158" s="458">
        <v>0.158</v>
      </c>
      <c r="E158" s="458">
        <v>0.13300000000000001</v>
      </c>
      <c r="F158" s="458">
        <v>0.34399999999999997</v>
      </c>
      <c r="G158" s="458">
        <v>0.246</v>
      </c>
      <c r="H158" s="458">
        <v>0.111</v>
      </c>
      <c r="I158" s="458">
        <v>8.9999999999999993E-3</v>
      </c>
      <c r="J158" s="13"/>
      <c r="K158" s="13"/>
      <c r="L158" s="13"/>
      <c r="M158" s="13"/>
      <c r="O158" s="13"/>
      <c r="P158" s="13"/>
      <c r="Q158" s="13"/>
      <c r="R158" s="13"/>
    </row>
    <row r="159" spans="1:20" ht="16" x14ac:dyDescent="0.35">
      <c r="A159" s="13"/>
      <c r="B159" s="281" t="s">
        <v>157</v>
      </c>
      <c r="C159" s="281" t="s">
        <v>32</v>
      </c>
      <c r="D159" s="456">
        <v>0.20899999999999999</v>
      </c>
      <c r="E159" s="456">
        <v>0.16700000000000001</v>
      </c>
      <c r="F159" s="456">
        <v>0.309</v>
      </c>
      <c r="G159" s="456">
        <v>0.215</v>
      </c>
      <c r="H159" s="456">
        <v>9.1999999999999998E-2</v>
      </c>
      <c r="I159" s="456">
        <v>8.0000000000000002E-3</v>
      </c>
      <c r="J159" s="13"/>
      <c r="K159" s="13"/>
      <c r="L159" s="13"/>
      <c r="M159" s="13"/>
      <c r="O159" s="13"/>
      <c r="P159" s="13"/>
      <c r="Q159" s="13"/>
      <c r="R159" s="13"/>
    </row>
    <row r="160" spans="1:20" ht="16" x14ac:dyDescent="0.35">
      <c r="A160" s="13"/>
      <c r="B160" s="272" t="s">
        <v>160</v>
      </c>
      <c r="C160" s="291" t="s">
        <v>159</v>
      </c>
      <c r="D160" s="457">
        <v>0.23200000000000001</v>
      </c>
      <c r="E160" s="457">
        <v>0.161</v>
      </c>
      <c r="F160" s="457">
        <v>0.30099999999999999</v>
      </c>
      <c r="G160" s="457">
        <v>0.20599999999999999</v>
      </c>
      <c r="H160" s="457">
        <v>9.0999999999999998E-2</v>
      </c>
      <c r="I160" s="457">
        <v>8.9999999999999993E-3</v>
      </c>
      <c r="J160" s="13"/>
      <c r="K160" s="13"/>
      <c r="L160" s="13"/>
      <c r="M160" s="13"/>
      <c r="O160" s="13"/>
      <c r="P160" s="13"/>
      <c r="Q160" s="13"/>
      <c r="R160" s="13"/>
    </row>
    <row r="161" spans="1:18" ht="16" x14ac:dyDescent="0.35">
      <c r="A161" s="13"/>
      <c r="B161" s="272"/>
      <c r="C161" s="291" t="s">
        <v>70</v>
      </c>
      <c r="D161" s="457">
        <v>0.21099999999999999</v>
      </c>
      <c r="E161" s="457">
        <v>0.18099999999999999</v>
      </c>
      <c r="F161" s="457">
        <v>0.314</v>
      </c>
      <c r="G161" s="457">
        <v>0.21</v>
      </c>
      <c r="H161" s="457">
        <v>0.08</v>
      </c>
      <c r="I161" s="457">
        <v>3.0000000000000001E-3</v>
      </c>
      <c r="J161" s="13"/>
      <c r="K161" s="13"/>
      <c r="L161" s="13"/>
      <c r="M161" s="13"/>
      <c r="O161" s="13"/>
      <c r="P161" s="13"/>
      <c r="Q161" s="13"/>
      <c r="R161" s="13"/>
    </row>
    <row r="162" spans="1:18" ht="16" x14ac:dyDescent="0.35">
      <c r="A162" s="13"/>
      <c r="B162" s="272"/>
      <c r="C162" s="291" t="s">
        <v>71</v>
      </c>
      <c r="D162" s="457">
        <v>0.14799999999999999</v>
      </c>
      <c r="E162" s="457">
        <v>0.152</v>
      </c>
      <c r="F162" s="457">
        <v>0.312</v>
      </c>
      <c r="G162" s="457">
        <v>0.246</v>
      </c>
      <c r="H162" s="457">
        <v>0.122</v>
      </c>
      <c r="I162" s="457">
        <v>0.02</v>
      </c>
      <c r="J162" s="13"/>
      <c r="K162" s="13"/>
      <c r="L162" s="13"/>
      <c r="M162" s="13"/>
      <c r="O162" s="13"/>
      <c r="P162" s="13"/>
      <c r="Q162" s="13"/>
      <c r="R162" s="13"/>
    </row>
    <row r="163" spans="1:18" ht="16" x14ac:dyDescent="0.35">
      <c r="A163" s="13"/>
      <c r="B163" s="272"/>
      <c r="C163" s="291" t="s">
        <v>50</v>
      </c>
      <c r="D163" s="457">
        <v>0.22800000000000001</v>
      </c>
      <c r="E163" s="457">
        <v>0.16300000000000001</v>
      </c>
      <c r="F163" s="457">
        <v>0.28999999999999998</v>
      </c>
      <c r="G163" s="457">
        <v>0.20300000000000001</v>
      </c>
      <c r="H163" s="457">
        <v>0.1</v>
      </c>
      <c r="I163" s="457">
        <v>1.4999999999999999E-2</v>
      </c>
      <c r="J163" s="13"/>
      <c r="K163" s="13"/>
      <c r="L163" s="13"/>
      <c r="M163" s="13"/>
      <c r="O163" s="13"/>
      <c r="P163" s="13"/>
      <c r="Q163" s="13"/>
      <c r="R163" s="13"/>
    </row>
    <row r="164" spans="1:18" ht="16.5" thickBot="1" x14ac:dyDescent="0.4">
      <c r="A164" s="13"/>
      <c r="B164" s="284"/>
      <c r="C164" s="292" t="s">
        <v>72</v>
      </c>
      <c r="D164" s="458">
        <v>0.158</v>
      </c>
      <c r="E164" s="458">
        <v>0.13300000000000001</v>
      </c>
      <c r="F164" s="458">
        <v>0.34399999999999997</v>
      </c>
      <c r="G164" s="458">
        <v>0.246</v>
      </c>
      <c r="H164" s="458">
        <v>0.111</v>
      </c>
      <c r="I164" s="458">
        <v>8.9999999999999993E-3</v>
      </c>
      <c r="J164" s="13"/>
      <c r="K164" s="13"/>
      <c r="L164" s="13"/>
      <c r="M164" s="13"/>
      <c r="O164" s="13"/>
      <c r="P164" s="13"/>
      <c r="Q164" s="13"/>
      <c r="R164" s="13"/>
    </row>
    <row r="165" spans="1:18" ht="16" x14ac:dyDescent="0.35">
      <c r="A165" s="13"/>
      <c r="B165" s="281" t="s">
        <v>35</v>
      </c>
      <c r="C165" s="281" t="s">
        <v>32</v>
      </c>
      <c r="D165" s="308">
        <v>0.19359999999999999</v>
      </c>
      <c r="E165" s="308">
        <v>0.1663</v>
      </c>
      <c r="F165" s="308">
        <v>0.31659999999999999</v>
      </c>
      <c r="G165" s="308">
        <v>0.2263</v>
      </c>
      <c r="H165" s="308">
        <v>8.9800000000000005E-2</v>
      </c>
      <c r="I165" s="308">
        <v>7.4000000000000003E-3</v>
      </c>
      <c r="J165" s="13"/>
      <c r="K165" s="13"/>
      <c r="L165" s="13"/>
      <c r="M165" s="13"/>
      <c r="O165" s="13"/>
      <c r="P165" s="13"/>
      <c r="Q165" s="13"/>
      <c r="R165" s="13"/>
    </row>
    <row r="166" spans="1:18" ht="16" x14ac:dyDescent="0.35">
      <c r="A166" s="13"/>
      <c r="B166" s="272"/>
      <c r="C166" s="291" t="s">
        <v>159</v>
      </c>
      <c r="D166" s="309">
        <v>0.22213247172859452</v>
      </c>
      <c r="E166" s="309">
        <v>0.16451265481960151</v>
      </c>
      <c r="F166" s="309">
        <v>0.31206246634356488</v>
      </c>
      <c r="G166" s="309">
        <v>0.2113624124932687</v>
      </c>
      <c r="H166" s="309">
        <v>8.1044695745826609E-2</v>
      </c>
      <c r="I166" s="309">
        <v>8.8852988691437811E-3</v>
      </c>
      <c r="J166" s="13"/>
      <c r="K166" s="13"/>
      <c r="L166" s="13"/>
      <c r="M166" s="13"/>
      <c r="O166" s="13"/>
      <c r="P166" s="13"/>
      <c r="Q166" s="13"/>
      <c r="R166" s="13"/>
    </row>
    <row r="167" spans="1:18" ht="16" x14ac:dyDescent="0.35">
      <c r="A167" s="13"/>
      <c r="B167" s="272"/>
      <c r="C167" s="291" t="s">
        <v>70</v>
      </c>
      <c r="D167" s="309">
        <v>0.18861653510594101</v>
      </c>
      <c r="E167" s="309">
        <v>0.17739925218113833</v>
      </c>
      <c r="F167" s="309">
        <v>0.32156211051100958</v>
      </c>
      <c r="G167" s="309">
        <v>0.22642293311175737</v>
      </c>
      <c r="H167" s="309">
        <v>8.3298712089738269E-2</v>
      </c>
      <c r="I167" s="309">
        <v>2.7004570004154549E-3</v>
      </c>
      <c r="J167" s="13"/>
      <c r="K167" s="13"/>
      <c r="L167" s="13"/>
      <c r="M167" s="13"/>
      <c r="O167" s="13"/>
      <c r="P167" s="13"/>
      <c r="Q167" s="13"/>
      <c r="R167" s="13"/>
    </row>
    <row r="168" spans="1:18" ht="16" x14ac:dyDescent="0.35">
      <c r="A168" s="13"/>
      <c r="B168" s="272"/>
      <c r="C168" s="291" t="s">
        <v>71</v>
      </c>
      <c r="D168" s="309">
        <v>0.16582278481012658</v>
      </c>
      <c r="E168" s="309">
        <v>0.15316455696202533</v>
      </c>
      <c r="F168" s="309">
        <v>0.30316455696202532</v>
      </c>
      <c r="G168" s="309">
        <v>0.24367088607594936</v>
      </c>
      <c r="H168" s="309">
        <v>0.11772151898734177</v>
      </c>
      <c r="I168" s="309">
        <v>1.6455696202531647E-2</v>
      </c>
      <c r="J168" s="13"/>
      <c r="K168" s="13"/>
      <c r="L168" s="13"/>
      <c r="M168" s="13"/>
      <c r="O168" s="13"/>
      <c r="P168" s="13"/>
      <c r="Q168" s="13"/>
      <c r="R168" s="13"/>
    </row>
    <row r="169" spans="1:18" ht="16" x14ac:dyDescent="0.35">
      <c r="A169" s="13"/>
      <c r="B169" s="272"/>
      <c r="C169" s="291" t="s">
        <v>50</v>
      </c>
      <c r="D169" s="309" t="s">
        <v>59</v>
      </c>
      <c r="E169" s="309" t="s">
        <v>59</v>
      </c>
      <c r="F169" s="309" t="s">
        <v>59</v>
      </c>
      <c r="G169" s="309" t="s">
        <v>59</v>
      </c>
      <c r="H169" s="309" t="s">
        <v>59</v>
      </c>
      <c r="I169" s="309" t="s">
        <v>59</v>
      </c>
      <c r="J169" s="13"/>
      <c r="K169" s="13"/>
      <c r="L169" s="13"/>
      <c r="M169" s="13"/>
      <c r="O169" s="13"/>
      <c r="P169" s="13"/>
      <c r="Q169" s="13"/>
      <c r="R169" s="13"/>
    </row>
    <row r="170" spans="1:18" ht="16.5" thickBot="1" x14ac:dyDescent="0.4">
      <c r="A170" s="13"/>
      <c r="B170" s="284"/>
      <c r="C170" s="292" t="s">
        <v>72</v>
      </c>
      <c r="D170" s="310">
        <v>0.13525835866261399</v>
      </c>
      <c r="E170" s="310">
        <v>0.12613981762917933</v>
      </c>
      <c r="F170" s="310">
        <v>0.33890577507598785</v>
      </c>
      <c r="G170" s="310">
        <v>0.26747720364741639</v>
      </c>
      <c r="H170" s="310">
        <v>0.12006079027355623</v>
      </c>
      <c r="I170" s="310">
        <v>1.2158054711246201E-2</v>
      </c>
      <c r="J170" s="13"/>
      <c r="K170" s="13"/>
      <c r="L170" s="13"/>
      <c r="M170" s="13"/>
      <c r="O170" s="13"/>
      <c r="P170" s="13"/>
      <c r="Q170" s="13"/>
      <c r="R170" s="13"/>
    </row>
    <row r="171" spans="1:18" ht="16" x14ac:dyDescent="0.35">
      <c r="A171" s="13"/>
      <c r="B171" s="281" t="s">
        <v>36</v>
      </c>
      <c r="C171" s="281" t="s">
        <v>32</v>
      </c>
      <c r="D171" s="308">
        <v>0.19466035822913147</v>
      </c>
      <c r="E171" s="308">
        <v>0.16686380533964176</v>
      </c>
      <c r="F171" s="308">
        <v>0.31328151402500842</v>
      </c>
      <c r="G171" s="308">
        <v>0.22634335924298749</v>
      </c>
      <c r="H171" s="308">
        <v>9.1078066914498143E-2</v>
      </c>
      <c r="I171" s="308">
        <v>7.7728962487326799E-3</v>
      </c>
      <c r="J171" s="13"/>
      <c r="K171" s="13"/>
      <c r="L171" s="13"/>
      <c r="M171" s="13"/>
      <c r="N171" s="13"/>
      <c r="O171" s="13"/>
      <c r="P171" s="13"/>
      <c r="Q171" s="13"/>
      <c r="R171" s="13"/>
    </row>
    <row r="172" spans="1:18" ht="16" x14ac:dyDescent="0.35">
      <c r="A172" s="13"/>
      <c r="B172" s="272"/>
      <c r="C172" s="291" t="s">
        <v>159</v>
      </c>
      <c r="D172" s="309">
        <v>0.22213247172859452</v>
      </c>
      <c r="E172" s="309">
        <v>0.16451265481960151</v>
      </c>
      <c r="F172" s="309">
        <v>0.31206246634356488</v>
      </c>
      <c r="G172" s="309">
        <v>0.2113624124932687</v>
      </c>
      <c r="H172" s="309">
        <v>8.1044695745826609E-2</v>
      </c>
      <c r="I172" s="309">
        <v>8.8852988691437811E-3</v>
      </c>
      <c r="J172" s="13"/>
      <c r="K172" s="13"/>
      <c r="L172" s="13"/>
      <c r="M172" s="13"/>
      <c r="N172" s="13"/>
      <c r="O172" s="13"/>
      <c r="P172" s="13"/>
      <c r="Q172" s="13"/>
      <c r="R172" s="13"/>
    </row>
    <row r="173" spans="1:18" ht="16" x14ac:dyDescent="0.35">
      <c r="A173" s="13"/>
      <c r="B173" s="272"/>
      <c r="C173" s="291" t="s">
        <v>70</v>
      </c>
      <c r="D173" s="309">
        <v>0.18861653510594101</v>
      </c>
      <c r="E173" s="309">
        <v>0.17739925218113833</v>
      </c>
      <c r="F173" s="309">
        <v>0.32156211051100958</v>
      </c>
      <c r="G173" s="309">
        <v>0.22642293311175737</v>
      </c>
      <c r="H173" s="309">
        <v>8.3298712089738269E-2</v>
      </c>
      <c r="I173" s="309">
        <v>2.7004570004154549E-3</v>
      </c>
      <c r="J173" s="13"/>
      <c r="K173" s="13"/>
      <c r="L173" s="13"/>
      <c r="M173" s="13"/>
      <c r="N173" s="13"/>
      <c r="O173" s="13"/>
      <c r="P173" s="13"/>
      <c r="Q173" s="13"/>
      <c r="R173" s="13"/>
    </row>
    <row r="174" spans="1:18" ht="16" x14ac:dyDescent="0.35">
      <c r="A174" s="13"/>
      <c r="B174" s="272"/>
      <c r="C174" s="291" t="s">
        <v>71</v>
      </c>
      <c r="D174" s="309">
        <v>0.16582278481012658</v>
      </c>
      <c r="E174" s="309">
        <v>0.15316455696202533</v>
      </c>
      <c r="F174" s="309">
        <v>0.30316455696202532</v>
      </c>
      <c r="G174" s="309">
        <v>0.24367088607594936</v>
      </c>
      <c r="H174" s="309">
        <v>0.11772151898734177</v>
      </c>
      <c r="I174" s="309">
        <v>1.6455696202531647E-2</v>
      </c>
      <c r="J174" s="13"/>
      <c r="K174" s="13"/>
      <c r="L174" s="13"/>
      <c r="M174" s="13"/>
      <c r="N174" s="13"/>
      <c r="O174" s="13"/>
      <c r="P174" s="13"/>
      <c r="Q174" s="13"/>
      <c r="R174" s="13"/>
    </row>
    <row r="175" spans="1:18" ht="16" x14ac:dyDescent="0.35">
      <c r="A175" s="13"/>
      <c r="B175" s="272"/>
      <c r="C175" s="291" t="s">
        <v>50</v>
      </c>
      <c r="D175" s="309">
        <v>0.20560747663551401</v>
      </c>
      <c r="E175" s="309">
        <v>0.17289719626168223</v>
      </c>
      <c r="F175" s="309">
        <v>0.27943925233644862</v>
      </c>
      <c r="G175" s="309">
        <v>0.22710280373831776</v>
      </c>
      <c r="H175" s="309">
        <v>0.10373831775700934</v>
      </c>
      <c r="I175" s="309">
        <v>1.1214953271028037E-2</v>
      </c>
      <c r="J175" s="13"/>
      <c r="K175" s="13"/>
      <c r="L175" s="13"/>
      <c r="M175" s="13"/>
      <c r="N175" s="13"/>
      <c r="O175" s="13"/>
      <c r="P175" s="13"/>
      <c r="Q175" s="13"/>
      <c r="R175" s="13"/>
    </row>
    <row r="176" spans="1:18" ht="16.5" thickBot="1" x14ac:dyDescent="0.4">
      <c r="A176" s="13"/>
      <c r="B176" s="284"/>
      <c r="C176" s="292" t="s">
        <v>72</v>
      </c>
      <c r="D176" s="310">
        <v>0.13525835866261399</v>
      </c>
      <c r="E176" s="310">
        <v>0.12613981762917933</v>
      </c>
      <c r="F176" s="310">
        <v>0.33890577507598785</v>
      </c>
      <c r="G176" s="310">
        <v>0.26747720364741639</v>
      </c>
      <c r="H176" s="310">
        <v>0.12006079027355623</v>
      </c>
      <c r="I176" s="310">
        <v>1.2158054711246201E-2</v>
      </c>
      <c r="J176" s="13"/>
      <c r="K176" s="13"/>
      <c r="L176" s="13"/>
      <c r="M176" s="13"/>
      <c r="N176" s="13"/>
      <c r="O176" s="13"/>
      <c r="P176" s="13"/>
      <c r="Q176" s="13"/>
      <c r="R176" s="13"/>
    </row>
    <row r="177" spans="1:18" ht="16" x14ac:dyDescent="0.35">
      <c r="A177" s="13"/>
      <c r="B177" s="281" t="s">
        <v>37</v>
      </c>
      <c r="C177" s="281" t="s">
        <v>32</v>
      </c>
      <c r="D177" s="311">
        <v>19.600000000000001</v>
      </c>
      <c r="E177" s="311">
        <v>15.9</v>
      </c>
      <c r="F177" s="311">
        <v>31.1</v>
      </c>
      <c r="G177" s="311">
        <v>23</v>
      </c>
      <c r="H177" s="311">
        <v>9.6</v>
      </c>
      <c r="I177" s="311">
        <v>0.8</v>
      </c>
      <c r="J177" s="13"/>
      <c r="K177" s="13"/>
      <c r="L177" s="13"/>
      <c r="M177" s="13"/>
      <c r="N177" s="13"/>
      <c r="O177" s="13"/>
      <c r="P177" s="13"/>
      <c r="Q177" s="13"/>
      <c r="R177" s="13"/>
    </row>
    <row r="178" spans="1:18" ht="16" x14ac:dyDescent="0.35">
      <c r="A178" s="13"/>
      <c r="B178" s="272"/>
      <c r="C178" s="291" t="s">
        <v>159</v>
      </c>
      <c r="D178" s="309">
        <v>0.2150158618258724</v>
      </c>
      <c r="E178" s="309">
        <v>0.14839619316179062</v>
      </c>
      <c r="F178" s="309">
        <v>0.30066972153683469</v>
      </c>
      <c r="G178" s="309">
        <v>0.22541416989777935</v>
      </c>
      <c r="H178" s="309">
        <v>0.10081071554458935</v>
      </c>
      <c r="I178" s="309">
        <v>9.6933380331335924E-3</v>
      </c>
      <c r="J178" s="13"/>
      <c r="K178" s="13"/>
      <c r="L178" s="13"/>
      <c r="M178" s="13"/>
      <c r="N178" s="13"/>
      <c r="O178" s="13"/>
      <c r="P178" s="13"/>
      <c r="Q178" s="13"/>
      <c r="R178" s="13"/>
    </row>
    <row r="179" spans="1:18" ht="16" x14ac:dyDescent="0.35">
      <c r="A179" s="13"/>
      <c r="B179" s="272"/>
      <c r="C179" s="291" t="s">
        <v>70</v>
      </c>
      <c r="D179" s="309">
        <v>0.18557607739665788</v>
      </c>
      <c r="E179" s="309">
        <v>0.1693051890941073</v>
      </c>
      <c r="F179" s="309">
        <v>0.3386103781882146</v>
      </c>
      <c r="G179" s="309">
        <v>0.2247141600703606</v>
      </c>
      <c r="H179" s="309">
        <v>7.9595426561125768E-2</v>
      </c>
      <c r="I179" s="309">
        <v>2.1987686895338612E-3</v>
      </c>
      <c r="J179" s="13"/>
      <c r="K179" s="13"/>
      <c r="L179" s="13"/>
      <c r="M179" s="13"/>
      <c r="N179" s="13"/>
      <c r="O179" s="13"/>
      <c r="P179" s="13"/>
      <c r="Q179" s="13"/>
      <c r="R179" s="13"/>
    </row>
    <row r="180" spans="1:18" ht="16" x14ac:dyDescent="0.35">
      <c r="A180" s="13"/>
      <c r="B180" s="272"/>
      <c r="C180" s="291" t="s">
        <v>71</v>
      </c>
      <c r="D180" s="309">
        <v>0.17450863609291245</v>
      </c>
      <c r="E180" s="309">
        <v>0.17748659916617035</v>
      </c>
      <c r="F180" s="309">
        <v>0.29720071471113757</v>
      </c>
      <c r="G180" s="309">
        <v>0.23228111971411555</v>
      </c>
      <c r="H180" s="309">
        <v>0.10303752233472305</v>
      </c>
      <c r="I180" s="309">
        <v>1.5485407980941036E-2</v>
      </c>
      <c r="J180" s="13"/>
      <c r="K180" s="13"/>
      <c r="L180" s="13"/>
      <c r="M180" s="13"/>
      <c r="O180" s="13"/>
      <c r="P180" s="13"/>
      <c r="Q180" s="13"/>
      <c r="R180" s="13"/>
    </row>
    <row r="181" spans="1:18" ht="16" x14ac:dyDescent="0.35">
      <c r="A181" s="13"/>
      <c r="B181" s="272"/>
      <c r="C181" s="291" t="s">
        <v>50</v>
      </c>
      <c r="D181" s="309">
        <v>0.20412844036697247</v>
      </c>
      <c r="E181" s="309">
        <v>0.15711009174311927</v>
      </c>
      <c r="F181" s="309">
        <v>0.29472477064220182</v>
      </c>
      <c r="G181" s="309">
        <v>0.23738532110091742</v>
      </c>
      <c r="H181" s="309">
        <v>9.6330275229357804E-2</v>
      </c>
      <c r="I181" s="309">
        <v>1.0321100917431193E-2</v>
      </c>
      <c r="J181" s="13"/>
      <c r="K181" s="13"/>
      <c r="L181" s="13"/>
      <c r="M181" s="13"/>
      <c r="O181" s="13"/>
      <c r="P181" s="13"/>
      <c r="Q181" s="13"/>
      <c r="R181" s="13"/>
    </row>
    <row r="182" spans="1:18" ht="16.5" thickBot="1" x14ac:dyDescent="0.4">
      <c r="A182" s="13"/>
      <c r="B182" s="284"/>
      <c r="C182" s="292" t="s">
        <v>72</v>
      </c>
      <c r="D182" s="310">
        <v>0.16313725490196079</v>
      </c>
      <c r="E182" s="310">
        <v>0.14352941176470588</v>
      </c>
      <c r="F182" s="310">
        <v>0.30901960784313726</v>
      </c>
      <c r="G182" s="310">
        <v>0.25019607843137254</v>
      </c>
      <c r="H182" s="310">
        <v>0.12313725490196079</v>
      </c>
      <c r="I182" s="310">
        <v>1.0980392156862745E-2</v>
      </c>
      <c r="J182" s="13"/>
      <c r="K182" s="13"/>
      <c r="L182" s="13"/>
      <c r="M182" s="13"/>
      <c r="O182" s="13"/>
      <c r="P182" s="13"/>
      <c r="Q182" s="13"/>
      <c r="R182" s="13"/>
    </row>
    <row r="183" spans="1:18" ht="16" x14ac:dyDescent="0.35">
      <c r="A183" s="13"/>
      <c r="B183" s="281" t="s">
        <v>57</v>
      </c>
      <c r="C183" s="281" t="s">
        <v>32</v>
      </c>
      <c r="D183" s="311">
        <v>0.20699999999999999</v>
      </c>
      <c r="E183" s="311">
        <v>0.16800000000000001</v>
      </c>
      <c r="F183" s="311">
        <v>0.31</v>
      </c>
      <c r="G183" s="311">
        <v>0.21899999999999997</v>
      </c>
      <c r="H183" s="311">
        <v>8.8000000000000009E-2</v>
      </c>
      <c r="I183" s="311">
        <v>6.9999999999999993E-3</v>
      </c>
      <c r="J183" s="13"/>
      <c r="K183" s="13"/>
      <c r="L183" s="13"/>
      <c r="M183" s="13"/>
      <c r="O183" s="13"/>
      <c r="P183" s="13"/>
      <c r="Q183" s="13"/>
      <c r="R183" s="13"/>
    </row>
    <row r="184" spans="1:18" ht="16" x14ac:dyDescent="0.35">
      <c r="A184" s="13"/>
      <c r="B184" s="272"/>
      <c r="C184" s="291" t="s">
        <v>159</v>
      </c>
      <c r="D184" s="312">
        <v>0.23499999999999999</v>
      </c>
      <c r="E184" s="312">
        <v>0.16200000000000001</v>
      </c>
      <c r="F184" s="312">
        <v>0.29299999999999998</v>
      </c>
      <c r="G184" s="312">
        <v>0.21299999999999999</v>
      </c>
      <c r="H184" s="312">
        <v>8.8000000000000009E-2</v>
      </c>
      <c r="I184" s="312">
        <v>8.0000000000000002E-3</v>
      </c>
      <c r="J184" s="13"/>
      <c r="K184" s="153"/>
      <c r="L184" s="13"/>
      <c r="M184" s="13"/>
      <c r="N184" s="13"/>
      <c r="O184" s="13"/>
      <c r="P184" s="13"/>
      <c r="Q184" s="13"/>
      <c r="R184" s="13"/>
    </row>
    <row r="185" spans="1:18" ht="16" x14ac:dyDescent="0.35">
      <c r="A185" s="13"/>
      <c r="B185" s="272"/>
      <c r="C185" s="291" t="s">
        <v>70</v>
      </c>
      <c r="D185" s="312">
        <v>0.193</v>
      </c>
      <c r="E185" s="312">
        <v>0.16899999999999998</v>
      </c>
      <c r="F185" s="312">
        <v>0.34499999999999997</v>
      </c>
      <c r="G185" s="312">
        <v>0.215</v>
      </c>
      <c r="H185" s="312">
        <v>7.5999999999999998E-2</v>
      </c>
      <c r="I185" s="312">
        <v>2E-3</v>
      </c>
      <c r="J185" s="13"/>
      <c r="K185" s="13"/>
      <c r="L185" s="13"/>
      <c r="M185" s="13"/>
      <c r="N185" s="13"/>
      <c r="O185" s="13"/>
      <c r="P185" s="13"/>
      <c r="Q185" s="13"/>
      <c r="R185" s="13"/>
    </row>
    <row r="186" spans="1:18" ht="16" x14ac:dyDescent="0.35">
      <c r="A186" s="13"/>
      <c r="B186" s="272"/>
      <c r="C186" s="291" t="s">
        <v>71</v>
      </c>
      <c r="D186" s="312">
        <v>0.19500000000000001</v>
      </c>
      <c r="E186" s="312">
        <v>0.17499999999999999</v>
      </c>
      <c r="F186" s="312">
        <v>0.27100000000000002</v>
      </c>
      <c r="G186" s="312">
        <v>0.24</v>
      </c>
      <c r="H186" s="312">
        <v>0.10199999999999999</v>
      </c>
      <c r="I186" s="312">
        <v>1.7000000000000001E-2</v>
      </c>
      <c r="J186" s="13"/>
      <c r="K186" s="13"/>
      <c r="L186" s="13"/>
      <c r="M186" s="13"/>
      <c r="N186" s="13"/>
      <c r="O186" s="13"/>
      <c r="P186" s="13"/>
      <c r="Q186" s="13"/>
      <c r="R186" s="13"/>
    </row>
    <row r="187" spans="1:18" ht="16" x14ac:dyDescent="0.35">
      <c r="A187" s="13"/>
      <c r="B187" s="272"/>
      <c r="C187" s="291" t="s">
        <v>50</v>
      </c>
      <c r="D187" s="312">
        <v>0.193</v>
      </c>
      <c r="E187" s="312">
        <v>0.17</v>
      </c>
      <c r="F187" s="312">
        <v>0.29699999999999999</v>
      </c>
      <c r="G187" s="312">
        <v>0.22800000000000001</v>
      </c>
      <c r="H187" s="312">
        <v>0.10099999999999999</v>
      </c>
      <c r="I187" s="312">
        <v>1.1000000000000001E-2</v>
      </c>
      <c r="J187" s="13"/>
      <c r="K187" s="13"/>
      <c r="L187" s="13"/>
      <c r="M187" s="13"/>
      <c r="N187" s="13"/>
      <c r="O187" s="13"/>
      <c r="P187" s="13"/>
      <c r="Q187" s="13"/>
      <c r="R187" s="13"/>
    </row>
    <row r="188" spans="1:18" ht="16" x14ac:dyDescent="0.35">
      <c r="A188" s="13"/>
      <c r="B188" s="272"/>
      <c r="C188" s="291" t="s">
        <v>73</v>
      </c>
      <c r="D188" s="312">
        <v>0.187</v>
      </c>
      <c r="E188" s="312">
        <v>0.21</v>
      </c>
      <c r="F188" s="312">
        <v>0.307</v>
      </c>
      <c r="G188" s="312">
        <v>0.20100000000000001</v>
      </c>
      <c r="H188" s="312">
        <v>0.09</v>
      </c>
      <c r="I188" s="312">
        <v>5.0000000000000001E-3</v>
      </c>
      <c r="J188" s="13"/>
      <c r="K188" s="13"/>
      <c r="L188" s="13"/>
      <c r="M188" s="13"/>
      <c r="N188" s="13"/>
      <c r="O188" s="13"/>
      <c r="P188" s="13"/>
      <c r="Q188" s="13"/>
      <c r="R188" s="13"/>
    </row>
    <row r="189" spans="1:18" ht="16.5" thickBot="1" x14ac:dyDescent="0.4">
      <c r="A189" s="13"/>
      <c r="B189" s="284"/>
      <c r="C189" s="292" t="s">
        <v>72</v>
      </c>
      <c r="D189" s="313">
        <v>0.115</v>
      </c>
      <c r="E189" s="313">
        <v>0.14300000000000002</v>
      </c>
      <c r="F189" s="313">
        <v>0.35799999999999998</v>
      </c>
      <c r="G189" s="313">
        <v>0.26899999999999996</v>
      </c>
      <c r="H189" s="313">
        <v>0.10099999999999999</v>
      </c>
      <c r="I189" s="313">
        <v>1.3000000000000001E-2</v>
      </c>
      <c r="J189" s="13"/>
      <c r="K189" s="13"/>
      <c r="L189" s="13"/>
      <c r="M189" s="13"/>
      <c r="N189" s="13"/>
      <c r="O189" s="13"/>
      <c r="P189" s="13"/>
      <c r="Q189" s="13"/>
      <c r="R189" s="13"/>
    </row>
    <row r="190" spans="1:18" ht="16" x14ac:dyDescent="0.35">
      <c r="A190" s="13"/>
      <c r="B190" s="281" t="s">
        <v>39</v>
      </c>
      <c r="C190" s="329" t="s">
        <v>32</v>
      </c>
      <c r="D190" s="330">
        <v>7.5999999999999998E-2</v>
      </c>
      <c r="E190" s="330">
        <v>0.29499999999999998</v>
      </c>
      <c r="F190" s="330">
        <v>0.317</v>
      </c>
      <c r="G190" s="330">
        <v>0.218</v>
      </c>
      <c r="H190" s="330">
        <v>8.5999999999999993E-2</v>
      </c>
      <c r="I190" s="330">
        <v>6.9999999999999993E-3</v>
      </c>
      <c r="J190" s="13"/>
      <c r="K190" s="13"/>
      <c r="N190" s="13"/>
      <c r="O190" s="13"/>
      <c r="P190" s="13"/>
      <c r="Q190" s="13"/>
      <c r="R190" s="13"/>
    </row>
    <row r="191" spans="1:18" ht="16" x14ac:dyDescent="0.35">
      <c r="A191" s="13"/>
      <c r="B191" s="272"/>
      <c r="C191" s="306" t="s">
        <v>69</v>
      </c>
      <c r="D191" s="314">
        <v>0.10300000000000001</v>
      </c>
      <c r="E191" s="314">
        <v>0.29899999999999999</v>
      </c>
      <c r="F191" s="314">
        <v>0.30299999999999999</v>
      </c>
      <c r="G191" s="314">
        <v>0.20399999999999999</v>
      </c>
      <c r="H191" s="314">
        <v>8.4000000000000005E-2</v>
      </c>
      <c r="I191" s="314">
        <v>8.0000000000000002E-3</v>
      </c>
      <c r="J191" s="13"/>
      <c r="K191" s="13"/>
      <c r="N191" s="13"/>
      <c r="O191" s="13"/>
      <c r="P191" s="13"/>
      <c r="Q191" s="13"/>
      <c r="R191" s="13"/>
    </row>
    <row r="192" spans="1:18" ht="16" x14ac:dyDescent="0.35">
      <c r="A192" s="13"/>
      <c r="B192" s="272"/>
      <c r="C192" s="306" t="s">
        <v>70</v>
      </c>
      <c r="D192" s="314">
        <v>3.7000000000000005E-2</v>
      </c>
      <c r="E192" s="314">
        <v>0.29100000000000004</v>
      </c>
      <c r="F192" s="314">
        <v>0.36599999999999999</v>
      </c>
      <c r="G192" s="314">
        <v>0.23199999999999998</v>
      </c>
      <c r="H192" s="314">
        <v>7.2000000000000008E-2</v>
      </c>
      <c r="I192" s="314">
        <v>1E-3</v>
      </c>
      <c r="J192" s="13"/>
      <c r="K192" s="13"/>
      <c r="N192" s="13"/>
      <c r="O192" s="13"/>
      <c r="P192" s="13"/>
      <c r="Q192" s="13"/>
      <c r="R192" s="13"/>
    </row>
    <row r="193" spans="1:19" ht="16" x14ac:dyDescent="0.35">
      <c r="A193" s="13"/>
      <c r="B193" s="272"/>
      <c r="C193" s="306" t="s">
        <v>71</v>
      </c>
      <c r="D193" s="314">
        <v>5.7999999999999996E-2</v>
      </c>
      <c r="E193" s="314">
        <v>0.27500000000000002</v>
      </c>
      <c r="F193" s="314">
        <v>0.29199999999999998</v>
      </c>
      <c r="G193" s="314">
        <v>0.248</v>
      </c>
      <c r="H193" s="314">
        <v>0.111</v>
      </c>
      <c r="I193" s="314">
        <v>1.4999999999999999E-2</v>
      </c>
      <c r="J193" s="13"/>
      <c r="K193" s="13"/>
      <c r="N193" s="13"/>
      <c r="O193" s="13"/>
      <c r="P193" s="13"/>
      <c r="Q193" s="13"/>
      <c r="R193" s="13"/>
    </row>
    <row r="194" spans="1:19" ht="16" x14ac:dyDescent="0.35">
      <c r="A194" s="13"/>
      <c r="B194" s="272"/>
      <c r="C194" s="306" t="s">
        <v>50</v>
      </c>
      <c r="D194" s="314">
        <v>0.11199999999999999</v>
      </c>
      <c r="E194" s="314">
        <v>0.30599999999999999</v>
      </c>
      <c r="F194" s="314">
        <v>0.29399999999999998</v>
      </c>
      <c r="G194" s="314">
        <v>0.19</v>
      </c>
      <c r="H194" s="314">
        <v>8.5999999999999993E-2</v>
      </c>
      <c r="I194" s="314">
        <v>1.2E-2</v>
      </c>
      <c r="J194" s="13"/>
      <c r="N194" s="13"/>
      <c r="O194" s="13"/>
      <c r="P194" s="13"/>
      <c r="Q194" s="13"/>
      <c r="R194" s="13"/>
    </row>
    <row r="195" spans="1:19" ht="16" x14ac:dyDescent="0.35">
      <c r="A195" s="13"/>
      <c r="B195" s="272"/>
      <c r="C195" s="306" t="s">
        <v>73</v>
      </c>
      <c r="D195" s="314">
        <v>7.2999999999999995E-2</v>
      </c>
      <c r="E195" s="314">
        <v>0.33600000000000002</v>
      </c>
      <c r="F195" s="314">
        <v>0.28000000000000003</v>
      </c>
      <c r="G195" s="314">
        <v>0.21299999999999999</v>
      </c>
      <c r="H195" s="314">
        <v>9.3000000000000013E-2</v>
      </c>
      <c r="I195" s="314">
        <v>6.9999999999999993E-3</v>
      </c>
      <c r="J195" s="13"/>
      <c r="L195" s="13"/>
      <c r="M195" s="13"/>
      <c r="N195" s="13"/>
      <c r="O195" s="13"/>
      <c r="P195" s="13"/>
      <c r="Q195" s="13"/>
      <c r="R195" s="13"/>
    </row>
    <row r="196" spans="1:19" ht="16.5" thickBot="1" x14ac:dyDescent="0.4">
      <c r="A196" s="13"/>
      <c r="B196" s="284"/>
      <c r="C196" s="307" t="s">
        <v>72</v>
      </c>
      <c r="D196" s="315">
        <v>2.7000000000000003E-2</v>
      </c>
      <c r="E196" s="315">
        <v>0.21199999999999999</v>
      </c>
      <c r="F196" s="315">
        <v>0.374</v>
      </c>
      <c r="G196" s="315">
        <v>0.26100000000000001</v>
      </c>
      <c r="H196" s="315">
        <v>0.113</v>
      </c>
      <c r="I196" s="315">
        <v>1.3000000000000001E-2</v>
      </c>
      <c r="J196" s="13"/>
      <c r="L196" s="13"/>
      <c r="M196" s="13"/>
      <c r="N196" s="13"/>
      <c r="O196" s="13"/>
      <c r="P196" s="13"/>
      <c r="Q196" s="13"/>
      <c r="R196" s="13"/>
    </row>
    <row r="197" spans="1:19" ht="17.5" x14ac:dyDescent="0.45">
      <c r="A197" s="13"/>
      <c r="B197" s="139"/>
      <c r="C197" s="139"/>
      <c r="D197" s="132"/>
      <c r="E197" s="132"/>
      <c r="F197" s="132"/>
      <c r="G197" s="132"/>
      <c r="H197" s="132"/>
      <c r="I197" s="132"/>
      <c r="J197" s="13"/>
      <c r="K197" s="13"/>
      <c r="L197" s="13"/>
      <c r="M197" s="13"/>
      <c r="N197" s="13"/>
      <c r="O197" s="13"/>
      <c r="P197" s="13"/>
      <c r="Q197" s="13"/>
      <c r="R197" s="13"/>
    </row>
    <row r="198" spans="1:19" s="9" customFormat="1" ht="17.5" x14ac:dyDescent="0.45">
      <c r="B198" s="15" t="s">
        <v>27</v>
      </c>
      <c r="C198" s="15"/>
      <c r="D198" s="21"/>
      <c r="E198" s="21"/>
      <c r="F198" s="21"/>
      <c r="G198" s="21"/>
      <c r="H198" s="21"/>
      <c r="I198" s="21"/>
      <c r="K198" s="21"/>
    </row>
    <row r="199" spans="1:19" ht="6.65" customHeight="1" thickBot="1" x14ac:dyDescent="0.5">
      <c r="A199" s="13"/>
      <c r="B199" s="139"/>
      <c r="C199" s="139"/>
      <c r="D199" s="132"/>
      <c r="E199" s="132"/>
      <c r="F199" s="132"/>
      <c r="G199" s="132"/>
      <c r="H199" s="132"/>
      <c r="I199" s="132"/>
      <c r="J199" s="13"/>
      <c r="K199" s="13"/>
      <c r="L199" s="13"/>
      <c r="M199" s="13"/>
      <c r="N199" s="13"/>
      <c r="O199" s="13"/>
      <c r="P199" s="13"/>
      <c r="Q199" s="13"/>
      <c r="R199" s="13"/>
    </row>
    <row r="200" spans="1:19" ht="32" x14ac:dyDescent="0.45">
      <c r="A200" s="13"/>
      <c r="B200" s="331"/>
      <c r="C200" s="626" t="s">
        <v>33</v>
      </c>
      <c r="D200" s="626" t="s">
        <v>34</v>
      </c>
      <c r="E200" s="626" t="s">
        <v>35</v>
      </c>
      <c r="F200" s="626" t="s">
        <v>36</v>
      </c>
      <c r="G200" s="626" t="s">
        <v>37</v>
      </c>
      <c r="H200" s="626" t="s">
        <v>57</v>
      </c>
      <c r="I200" s="626" t="s">
        <v>39</v>
      </c>
      <c r="J200" s="132"/>
      <c r="K200" s="13"/>
      <c r="L200" s="13"/>
      <c r="M200" s="13"/>
      <c r="N200" s="13"/>
      <c r="O200" s="13"/>
      <c r="P200" s="13"/>
      <c r="Q200" s="13"/>
      <c r="R200" s="13"/>
      <c r="S200" s="13"/>
    </row>
    <row r="201" spans="1:19" ht="17.5" x14ac:dyDescent="0.45">
      <c r="A201" s="13"/>
      <c r="B201" s="272" t="s">
        <v>32</v>
      </c>
      <c r="C201" s="459" t="s">
        <v>161</v>
      </c>
      <c r="D201" s="459" t="s">
        <v>162</v>
      </c>
      <c r="E201" s="459" t="s">
        <v>161</v>
      </c>
      <c r="F201" s="332" t="s">
        <v>162</v>
      </c>
      <c r="G201" s="326" t="s">
        <v>163</v>
      </c>
      <c r="H201" s="326" t="s">
        <v>164</v>
      </c>
      <c r="I201" s="326" t="s">
        <v>165</v>
      </c>
      <c r="J201" s="132"/>
      <c r="K201" s="13"/>
      <c r="L201" s="13"/>
      <c r="M201" s="13"/>
      <c r="N201" s="13"/>
      <c r="O201" s="13"/>
      <c r="P201" s="13"/>
      <c r="Q201" s="13"/>
      <c r="R201" s="13"/>
      <c r="S201" s="13"/>
    </row>
    <row r="202" spans="1:19" ht="17.5" x14ac:dyDescent="0.45">
      <c r="A202" s="13"/>
      <c r="B202" s="291" t="s">
        <v>166</v>
      </c>
      <c r="C202" s="439" t="s">
        <v>167</v>
      </c>
      <c r="D202" s="439" t="s">
        <v>163</v>
      </c>
      <c r="E202" s="439" t="s">
        <v>162</v>
      </c>
      <c r="F202" s="301" t="s">
        <v>168</v>
      </c>
      <c r="G202" s="324" t="s">
        <v>169</v>
      </c>
      <c r="H202" s="324" t="s">
        <v>170</v>
      </c>
      <c r="I202" s="324" t="s">
        <v>171</v>
      </c>
      <c r="J202" s="132"/>
      <c r="K202" s="13"/>
      <c r="L202" s="13"/>
      <c r="M202" s="13"/>
      <c r="N202" s="13"/>
      <c r="O202" s="13"/>
      <c r="P202" s="13"/>
      <c r="Q202" s="13"/>
      <c r="R202" s="13"/>
      <c r="S202" s="13"/>
    </row>
    <row r="203" spans="1:19" ht="18" thickBot="1" x14ac:dyDescent="0.5">
      <c r="A203" s="13"/>
      <c r="B203" s="292" t="s">
        <v>172</v>
      </c>
      <c r="C203" s="440" t="s">
        <v>173</v>
      </c>
      <c r="D203" s="440" t="s">
        <v>174</v>
      </c>
      <c r="E203" s="440" t="s">
        <v>173</v>
      </c>
      <c r="F203" s="302" t="s">
        <v>173</v>
      </c>
      <c r="G203" s="325" t="s">
        <v>175</v>
      </c>
      <c r="H203" s="325" t="s">
        <v>176</v>
      </c>
      <c r="I203" s="325" t="s">
        <v>177</v>
      </c>
      <c r="J203" s="132"/>
      <c r="K203" s="13"/>
      <c r="L203" s="13"/>
      <c r="M203" s="13"/>
      <c r="N203" s="13"/>
      <c r="O203" s="13"/>
      <c r="P203" s="13"/>
      <c r="Q203" s="13"/>
      <c r="R203" s="13"/>
      <c r="S203" s="13"/>
    </row>
    <row r="204" spans="1:19" ht="17.5" x14ac:dyDescent="0.45">
      <c r="A204" s="13"/>
      <c r="B204" s="139"/>
      <c r="C204" s="139"/>
      <c r="D204" s="132"/>
      <c r="E204" s="132"/>
      <c r="F204" s="132"/>
      <c r="G204" s="132"/>
      <c r="H204" s="132"/>
      <c r="I204" s="132"/>
      <c r="J204" s="13"/>
      <c r="K204" s="13"/>
      <c r="L204" s="13"/>
      <c r="M204" s="13"/>
      <c r="N204" s="13"/>
      <c r="O204" s="13"/>
      <c r="P204" s="13"/>
      <c r="Q204" s="13"/>
      <c r="R204" s="13"/>
    </row>
    <row r="205" spans="1:19" s="9" customFormat="1" ht="17.5" x14ac:dyDescent="0.45">
      <c r="B205" s="15" t="s">
        <v>29</v>
      </c>
      <c r="C205" s="15"/>
      <c r="D205" s="21"/>
      <c r="E205" s="21"/>
      <c r="F205" s="21"/>
      <c r="G205" s="21"/>
      <c r="H205" s="21"/>
      <c r="I205" s="21"/>
      <c r="K205" s="21"/>
    </row>
    <row r="206" spans="1:19" ht="6.65" customHeight="1" thickBot="1" x14ac:dyDescent="0.5">
      <c r="A206" s="162"/>
      <c r="B206" s="139"/>
      <c r="C206" s="139"/>
      <c r="D206" s="132"/>
      <c r="E206" s="132"/>
      <c r="F206" s="132"/>
      <c r="G206" s="132"/>
      <c r="H206" s="132"/>
      <c r="I206" s="132"/>
      <c r="J206" s="13"/>
      <c r="M206" s="13"/>
      <c r="N206" s="13"/>
      <c r="O206" s="13"/>
      <c r="P206" s="13"/>
      <c r="Q206" s="13"/>
      <c r="R206" s="13"/>
    </row>
    <row r="207" spans="1:19" ht="32" x14ac:dyDescent="0.45">
      <c r="A207" s="162"/>
      <c r="B207" s="626" t="s">
        <v>146</v>
      </c>
      <c r="C207" s="626" t="s">
        <v>33</v>
      </c>
      <c r="D207" s="626" t="s">
        <v>34</v>
      </c>
      <c r="E207" s="626" t="s">
        <v>35</v>
      </c>
      <c r="F207" s="626" t="s">
        <v>36</v>
      </c>
      <c r="G207" s="626" t="s">
        <v>37</v>
      </c>
      <c r="H207" s="626" t="s">
        <v>57</v>
      </c>
      <c r="I207" s="396" t="s">
        <v>178</v>
      </c>
      <c r="J207" s="132"/>
      <c r="K207" s="13"/>
      <c r="O207" s="13"/>
      <c r="P207" s="13"/>
      <c r="Q207" s="13"/>
      <c r="R207" s="13"/>
      <c r="S207" s="13"/>
    </row>
    <row r="208" spans="1:19" ht="17.5" x14ac:dyDescent="0.45">
      <c r="A208" s="162"/>
      <c r="B208" s="272" t="s">
        <v>32</v>
      </c>
      <c r="C208" s="601">
        <f>234/12841*100</f>
        <v>1.8222879838018846</v>
      </c>
      <c r="D208" s="602">
        <f>231/11744*100</f>
        <v>1.9669618528610353</v>
      </c>
      <c r="E208" s="602">
        <f>78/10821*100</f>
        <v>0.72082062655946777</v>
      </c>
      <c r="F208" s="333">
        <f>82/11922*100</f>
        <v>0.68780405972152325</v>
      </c>
      <c r="G208" s="336">
        <f>81/13797*100</f>
        <v>0.58708414872798431</v>
      </c>
      <c r="H208" s="336">
        <f>(102/14996)*100</f>
        <v>0.6801813817017871</v>
      </c>
      <c r="I208" s="336">
        <v>1.3</v>
      </c>
      <c r="J208" s="132"/>
      <c r="K208" s="13"/>
      <c r="O208" s="13"/>
      <c r="P208" s="13"/>
      <c r="Q208" s="13"/>
      <c r="R208" s="13"/>
      <c r="S208" s="13"/>
    </row>
    <row r="209" spans="1:19" ht="17.5" x14ac:dyDescent="0.45">
      <c r="A209" s="162"/>
      <c r="B209" s="291" t="s">
        <v>143</v>
      </c>
      <c r="C209" s="603">
        <f>127/9845*100</f>
        <v>1.2899949212798376</v>
      </c>
      <c r="D209" s="604">
        <f>127/9054*100</f>
        <v>1.4026949414623371</v>
      </c>
      <c r="E209" s="604">
        <f>16/8395*100</f>
        <v>0.19058963668850507</v>
      </c>
      <c r="F209" s="334">
        <f>17/9183*100</f>
        <v>0.18512468692148534</v>
      </c>
      <c r="G209" s="337">
        <f>64/11000*100</f>
        <v>0.58181818181818179</v>
      </c>
      <c r="H209" s="337">
        <f>(17/12021)*100</f>
        <v>0.14141918309624824</v>
      </c>
      <c r="I209" s="337">
        <v>0.4</v>
      </c>
      <c r="J209" s="132"/>
      <c r="K209" s="13"/>
      <c r="O209" s="13"/>
      <c r="P209" s="13"/>
      <c r="Q209" s="13"/>
      <c r="R209" s="13"/>
      <c r="S209" s="13"/>
    </row>
    <row r="210" spans="1:19" ht="18" thickBot="1" x14ac:dyDescent="0.5">
      <c r="A210" s="162"/>
      <c r="B210" s="292" t="s">
        <v>144</v>
      </c>
      <c r="C210" s="605">
        <f>107/2996*100</f>
        <v>3.5714285714285712</v>
      </c>
      <c r="D210" s="606">
        <f>104/2690*100</f>
        <v>3.8661710037174721</v>
      </c>
      <c r="E210" s="606">
        <f>62/2426*100</f>
        <v>2.5556471558120362</v>
      </c>
      <c r="F210" s="335">
        <f>65/2739*100</f>
        <v>2.3731288791529757</v>
      </c>
      <c r="G210" s="338">
        <f>17/2797*100</f>
        <v>0.60779406506971756</v>
      </c>
      <c r="H210" s="338">
        <f>(85/2966)*100</f>
        <v>2.8658125421443024</v>
      </c>
      <c r="I210" s="338">
        <v>5.6</v>
      </c>
      <c r="J210" s="132"/>
      <c r="K210" s="13"/>
      <c r="O210" s="13"/>
      <c r="P210" s="13"/>
      <c r="Q210" s="13"/>
      <c r="R210" s="13"/>
      <c r="S210" s="13"/>
    </row>
    <row r="211" spans="1:19" ht="17.5" x14ac:dyDescent="0.45">
      <c r="A211" s="162"/>
      <c r="B211" s="139"/>
      <c r="C211" s="163"/>
      <c r="D211" s="132"/>
      <c r="E211" s="132"/>
      <c r="F211" s="132"/>
      <c r="G211" s="132"/>
      <c r="H211" s="132"/>
      <c r="I211" s="132"/>
      <c r="J211" s="13"/>
      <c r="K211" s="13"/>
      <c r="L211" s="13"/>
      <c r="N211" s="13"/>
      <c r="O211" s="13"/>
      <c r="P211" s="13"/>
      <c r="Q211" s="13"/>
      <c r="R211" s="13"/>
    </row>
    <row r="212" spans="1:19" s="9" customFormat="1" ht="17.5" x14ac:dyDescent="0.45">
      <c r="B212" s="15" t="s">
        <v>6</v>
      </c>
      <c r="C212" s="15"/>
      <c r="D212" s="21"/>
      <c r="E212" s="21"/>
      <c r="F212" s="21"/>
      <c r="G212" s="21"/>
      <c r="H212" s="21"/>
      <c r="I212" s="21"/>
      <c r="K212" s="21"/>
    </row>
    <row r="213" spans="1:19" ht="7.15" customHeight="1" thickBot="1" x14ac:dyDescent="0.5">
      <c r="A213" s="162"/>
      <c r="B213" s="139"/>
      <c r="C213" s="163"/>
      <c r="D213" s="132"/>
      <c r="E213" s="132"/>
      <c r="F213" s="132"/>
      <c r="G213" s="132"/>
      <c r="H213" s="132"/>
      <c r="I213" s="132"/>
      <c r="J213" s="13"/>
      <c r="K213" s="13"/>
      <c r="L213" s="13"/>
      <c r="N213" s="13"/>
      <c r="O213" s="13"/>
      <c r="P213" s="13"/>
      <c r="Q213" s="13"/>
      <c r="R213" s="13"/>
    </row>
    <row r="214" spans="1:19" ht="32" x14ac:dyDescent="0.45">
      <c r="A214" s="162"/>
      <c r="B214" s="626" t="s">
        <v>146</v>
      </c>
      <c r="C214" s="626" t="s">
        <v>33</v>
      </c>
      <c r="D214" s="626" t="s">
        <v>34</v>
      </c>
      <c r="E214" s="626" t="s">
        <v>35</v>
      </c>
      <c r="F214" s="626" t="s">
        <v>36</v>
      </c>
      <c r="G214" s="626" t="s">
        <v>37</v>
      </c>
      <c r="H214" s="626" t="s">
        <v>57</v>
      </c>
      <c r="I214" s="626" t="s">
        <v>39</v>
      </c>
      <c r="J214" s="132"/>
      <c r="K214" s="13"/>
      <c r="L214" s="13"/>
      <c r="M214" s="13"/>
      <c r="O214" s="13"/>
      <c r="P214" s="13"/>
      <c r="Q214" s="13"/>
      <c r="R214" s="13"/>
      <c r="S214" s="13"/>
    </row>
    <row r="215" spans="1:19" ht="17.5" x14ac:dyDescent="0.45">
      <c r="A215" s="162"/>
      <c r="B215" s="272" t="s">
        <v>32</v>
      </c>
      <c r="C215" s="607">
        <f>95/234*100</f>
        <v>40.598290598290596</v>
      </c>
      <c r="D215" s="607">
        <f>95/231*100</f>
        <v>41.125541125541126</v>
      </c>
      <c r="E215" s="602">
        <f>54/78*100</f>
        <v>69.230769230769226</v>
      </c>
      <c r="F215" s="339">
        <f>58/82*100</f>
        <v>70.731707317073173</v>
      </c>
      <c r="G215" s="342">
        <v>0.25900000000000001</v>
      </c>
      <c r="H215" s="342">
        <f>46/102</f>
        <v>0.45098039215686275</v>
      </c>
      <c r="I215" s="342">
        <v>0.745</v>
      </c>
      <c r="J215" s="132"/>
      <c r="K215" s="13"/>
      <c r="L215" s="13"/>
      <c r="M215" s="13"/>
      <c r="N215" s="13"/>
      <c r="O215" s="13"/>
      <c r="P215" s="13"/>
      <c r="Q215" s="13"/>
      <c r="R215" s="13"/>
      <c r="S215" s="13"/>
    </row>
    <row r="216" spans="1:19" ht="17.5" x14ac:dyDescent="0.45">
      <c r="A216" s="162"/>
      <c r="B216" s="291" t="s">
        <v>143</v>
      </c>
      <c r="C216" s="608">
        <f>23/127*100</f>
        <v>18.110236220472441</v>
      </c>
      <c r="D216" s="608">
        <f>23/127*100</f>
        <v>18.110236220472441</v>
      </c>
      <c r="E216" s="604">
        <f>7/16*100</f>
        <v>43.75</v>
      </c>
      <c r="F216" s="340">
        <f>8/17*100</f>
        <v>47.058823529411761</v>
      </c>
      <c r="G216" s="309">
        <v>4.7E-2</v>
      </c>
      <c r="H216" s="309">
        <f>34/17</f>
        <v>2</v>
      </c>
      <c r="I216" s="309">
        <v>1</v>
      </c>
      <c r="J216" s="132"/>
      <c r="K216" s="13"/>
      <c r="L216" s="13"/>
      <c r="M216" s="13"/>
      <c r="N216" s="13"/>
      <c r="O216" s="13"/>
      <c r="P216" s="13"/>
      <c r="Q216" s="13"/>
      <c r="R216" s="13"/>
      <c r="S216" s="13"/>
    </row>
    <row r="217" spans="1:19" ht="18" thickBot="1" x14ac:dyDescent="0.5">
      <c r="A217" s="162"/>
      <c r="B217" s="292" t="s">
        <v>144</v>
      </c>
      <c r="C217" s="609">
        <f>72/107*100</f>
        <v>67.289719626168221</v>
      </c>
      <c r="D217" s="609">
        <f>72/104*100</f>
        <v>69.230769230769226</v>
      </c>
      <c r="E217" s="606">
        <f>47/62*100</f>
        <v>75.806451612903231</v>
      </c>
      <c r="F217" s="341">
        <f>50/65*100</f>
        <v>76.923076923076934</v>
      </c>
      <c r="G217" s="343">
        <v>1</v>
      </c>
      <c r="H217" s="343">
        <f>12/85</f>
        <v>0.14117647058823529</v>
      </c>
      <c r="I217" s="343">
        <v>0.65</v>
      </c>
      <c r="J217" s="132"/>
      <c r="K217" s="13"/>
      <c r="L217" s="13"/>
      <c r="M217" s="13"/>
      <c r="N217" s="13"/>
      <c r="O217" s="13"/>
      <c r="P217" s="13"/>
      <c r="Q217" s="13"/>
      <c r="R217" s="13"/>
      <c r="S217" s="13"/>
    </row>
    <row r="218" spans="1:19" ht="17.5" x14ac:dyDescent="0.45">
      <c r="A218" s="162"/>
      <c r="B218" s="139"/>
      <c r="C218" s="163"/>
      <c r="D218" s="132"/>
      <c r="E218" s="132"/>
      <c r="F218" s="132"/>
      <c r="G218" s="132"/>
      <c r="H218" s="132"/>
      <c r="I218" s="132"/>
      <c r="J218" s="13"/>
      <c r="K218" s="13"/>
      <c r="L218" s="13"/>
      <c r="N218" s="13"/>
      <c r="O218" s="13"/>
      <c r="P218" s="13"/>
      <c r="Q218" s="13"/>
      <c r="R218" s="13"/>
    </row>
    <row r="219" spans="1:19" s="9" customFormat="1" ht="17.5" x14ac:dyDescent="0.45">
      <c r="B219" s="15" t="s">
        <v>8</v>
      </c>
      <c r="C219" s="15"/>
      <c r="D219" s="21"/>
      <c r="E219" s="21"/>
      <c r="F219" s="21"/>
      <c r="G219" s="21"/>
      <c r="H219" s="21"/>
      <c r="I219" s="21"/>
      <c r="K219" s="21"/>
    </row>
    <row r="220" spans="1:19" ht="7.15" customHeight="1" thickBot="1" x14ac:dyDescent="0.5">
      <c r="A220" s="13"/>
      <c r="B220" s="139"/>
      <c r="C220" s="163"/>
      <c r="D220" s="132"/>
      <c r="E220" s="132"/>
      <c r="F220" s="132"/>
      <c r="G220" s="132"/>
      <c r="H220" s="132"/>
      <c r="I220" s="132"/>
      <c r="J220" s="13"/>
      <c r="K220" s="13"/>
      <c r="L220" s="13"/>
      <c r="N220" s="13"/>
      <c r="O220" s="13"/>
      <c r="P220" s="13"/>
      <c r="Q220" s="13"/>
      <c r="R220" s="13"/>
    </row>
    <row r="221" spans="1:19" ht="32" x14ac:dyDescent="0.45">
      <c r="A221" s="13"/>
      <c r="B221" s="626" t="s">
        <v>146</v>
      </c>
      <c r="C221" s="626" t="s">
        <v>33</v>
      </c>
      <c r="D221" s="626" t="s">
        <v>34</v>
      </c>
      <c r="E221" s="626" t="s">
        <v>35</v>
      </c>
      <c r="F221" s="626" t="s">
        <v>36</v>
      </c>
      <c r="G221" s="626" t="s">
        <v>37</v>
      </c>
      <c r="H221" s="626" t="s">
        <v>57</v>
      </c>
      <c r="I221" s="626" t="s">
        <v>39</v>
      </c>
      <c r="J221" s="132"/>
      <c r="K221" s="13"/>
      <c r="O221" s="13"/>
      <c r="P221" s="13"/>
      <c r="Q221" s="13"/>
      <c r="R221" s="13"/>
      <c r="S221" s="13"/>
    </row>
    <row r="222" spans="1:19" ht="17.5" x14ac:dyDescent="0.45">
      <c r="A222" s="13"/>
      <c r="B222" s="272" t="s">
        <v>32</v>
      </c>
      <c r="C222" s="610">
        <f>95/11744*100</f>
        <v>0.80892370572207084</v>
      </c>
      <c r="D222" s="610">
        <f>95/11744*100</f>
        <v>0.80892370572207084</v>
      </c>
      <c r="E222" s="607">
        <f>54/10821*100</f>
        <v>0.49902966454116998</v>
      </c>
      <c r="F222" s="340">
        <f>58/11922*100</f>
        <v>0.48649555443717496</v>
      </c>
      <c r="G222" s="336">
        <f>21/13797*100</f>
        <v>0.15220700152207001</v>
      </c>
      <c r="H222" s="336">
        <f>(46/14496)*100</f>
        <v>0.31732891832229582</v>
      </c>
      <c r="I222" s="336">
        <v>0.8</v>
      </c>
      <c r="J222" s="132"/>
      <c r="K222" s="13"/>
      <c r="O222" s="13"/>
      <c r="P222" s="13"/>
      <c r="Q222" s="13"/>
      <c r="R222" s="13"/>
      <c r="S222" s="13"/>
    </row>
    <row r="223" spans="1:19" ht="17.5" x14ac:dyDescent="0.45">
      <c r="A223" s="13"/>
      <c r="B223" s="344" t="s">
        <v>143</v>
      </c>
      <c r="C223" s="611">
        <f>23/9054*100</f>
        <v>0.25403136735144688</v>
      </c>
      <c r="D223" s="611">
        <f>23/9054*100</f>
        <v>0.25403136735144688</v>
      </c>
      <c r="E223" s="608">
        <f>7/8395*100</f>
        <v>8.3382966051220961E-2</v>
      </c>
      <c r="F223" s="340">
        <f>8/9183*100</f>
        <v>8.7117499727757813E-2</v>
      </c>
      <c r="G223" s="344">
        <f>3/11000*100</f>
        <v>2.7272727272727275E-2</v>
      </c>
      <c r="H223" s="344">
        <f>(34/12021)*100</f>
        <v>0.28283836619249647</v>
      </c>
      <c r="I223" s="344">
        <v>0.4</v>
      </c>
      <c r="J223" s="132"/>
      <c r="K223" s="13"/>
      <c r="O223" s="13"/>
      <c r="P223" s="13"/>
      <c r="Q223" s="13"/>
      <c r="R223" s="13"/>
      <c r="S223" s="13"/>
    </row>
    <row r="224" spans="1:19" ht="18" thickBot="1" x14ac:dyDescent="0.5">
      <c r="A224" s="13"/>
      <c r="B224" s="292" t="s">
        <v>144</v>
      </c>
      <c r="C224" s="612">
        <f>72/2690*100</f>
        <v>2.6765799256505578</v>
      </c>
      <c r="D224" s="612">
        <f>72/2690*100</f>
        <v>2.6765799256505578</v>
      </c>
      <c r="E224" s="609">
        <f>47/2426*100</f>
        <v>1.9373454245671888</v>
      </c>
      <c r="F224" s="341">
        <f>50/2739*100</f>
        <v>1.8254837531945967</v>
      </c>
      <c r="G224" s="338">
        <f>0.00643546657132642*100</f>
        <v>0.64354665713264203</v>
      </c>
      <c r="H224" s="338">
        <f>(12/2966)*100</f>
        <v>0.40458530006743088</v>
      </c>
      <c r="I224" s="338">
        <v>1.9</v>
      </c>
      <c r="J224" s="132"/>
      <c r="K224" s="13"/>
      <c r="O224" s="13"/>
      <c r="P224" s="13"/>
      <c r="Q224" s="13"/>
      <c r="R224" s="13"/>
      <c r="S224" s="13"/>
    </row>
    <row r="225" spans="1:19" ht="17.5" x14ac:dyDescent="0.45">
      <c r="A225" s="13"/>
      <c r="B225" s="139"/>
      <c r="C225" s="139"/>
      <c r="D225" s="132"/>
      <c r="E225" s="132"/>
      <c r="F225" s="132"/>
      <c r="G225" s="132"/>
      <c r="H225" s="132"/>
      <c r="I225" s="132"/>
      <c r="J225" s="13"/>
      <c r="N225" s="13"/>
      <c r="O225" s="13"/>
      <c r="P225" s="13"/>
      <c r="Q225" s="13"/>
      <c r="R225" s="13"/>
    </row>
    <row r="226" spans="1:19" s="9" customFormat="1" ht="17.5" x14ac:dyDescent="0.45">
      <c r="B226" s="15" t="s">
        <v>10</v>
      </c>
      <c r="C226" s="15"/>
      <c r="D226" s="21"/>
      <c r="E226" s="21"/>
      <c r="F226" s="21"/>
      <c r="G226" s="21"/>
      <c r="H226" s="21"/>
      <c r="I226" s="21"/>
      <c r="K226" s="21"/>
    </row>
    <row r="227" spans="1:19" ht="9" customHeight="1" thickBot="1" x14ac:dyDescent="0.5">
      <c r="A227" s="13"/>
      <c r="B227" s="139"/>
      <c r="C227" s="139"/>
      <c r="D227" s="132"/>
      <c r="E227" s="132"/>
      <c r="F227" s="132"/>
      <c r="G227" s="132"/>
      <c r="H227" s="132"/>
      <c r="I227" s="132"/>
      <c r="J227" s="13"/>
      <c r="K227" s="13"/>
      <c r="L227" s="13"/>
      <c r="N227" s="13"/>
      <c r="O227" s="13"/>
      <c r="P227" s="13"/>
      <c r="Q227" s="13"/>
      <c r="R227" s="13"/>
    </row>
    <row r="228" spans="1:19" ht="32" x14ac:dyDescent="0.35">
      <c r="A228" s="13"/>
      <c r="B228" s="626" t="s">
        <v>68</v>
      </c>
      <c r="C228" s="626" t="s">
        <v>33</v>
      </c>
      <c r="D228" s="626" t="s">
        <v>34</v>
      </c>
      <c r="E228" s="626" t="s">
        <v>35</v>
      </c>
      <c r="F228" s="626" t="s">
        <v>36</v>
      </c>
      <c r="G228" s="296" t="s">
        <v>37</v>
      </c>
      <c r="H228" s="626" t="s">
        <v>68</v>
      </c>
      <c r="I228" s="626" t="s">
        <v>57</v>
      </c>
      <c r="J228" s="626" t="s">
        <v>39</v>
      </c>
      <c r="K228" s="13"/>
      <c r="N228" s="13"/>
      <c r="O228" s="13"/>
      <c r="P228" s="13"/>
      <c r="Q228" s="13"/>
      <c r="R228" s="13"/>
      <c r="S228" s="13"/>
    </row>
    <row r="229" spans="1:19" ht="16.5" x14ac:dyDescent="0.45">
      <c r="A229" s="13"/>
      <c r="B229" s="272" t="s">
        <v>32</v>
      </c>
      <c r="C229" s="449">
        <v>21.3</v>
      </c>
      <c r="D229" s="449">
        <v>21.3</v>
      </c>
      <c r="E229" s="449">
        <v>16.7</v>
      </c>
      <c r="F229" s="345">
        <v>17.5</v>
      </c>
      <c r="G229" s="351">
        <v>32.299999999999997</v>
      </c>
      <c r="H229" s="272" t="s">
        <v>32</v>
      </c>
      <c r="I229" s="348">
        <v>31.6</v>
      </c>
      <c r="J229" s="348">
        <v>29.3</v>
      </c>
      <c r="K229" s="13"/>
      <c r="N229" s="13"/>
      <c r="O229" s="13"/>
      <c r="P229" s="13"/>
      <c r="Q229" s="13"/>
      <c r="R229" s="13"/>
      <c r="S229" s="13"/>
    </row>
    <row r="230" spans="1:19" ht="16.5" x14ac:dyDescent="0.45">
      <c r="A230" s="13"/>
      <c r="B230" s="291" t="s">
        <v>69</v>
      </c>
      <c r="C230" s="447">
        <v>43.3</v>
      </c>
      <c r="D230" s="447">
        <v>43.3</v>
      </c>
      <c r="E230" s="447">
        <v>29.4</v>
      </c>
      <c r="F230" s="346">
        <v>29.4</v>
      </c>
      <c r="G230" s="352">
        <v>63.5</v>
      </c>
      <c r="H230" s="291" t="s">
        <v>69</v>
      </c>
      <c r="I230" s="349">
        <v>64.5</v>
      </c>
      <c r="J230" s="349">
        <v>52.8</v>
      </c>
      <c r="K230" s="13"/>
      <c r="N230" s="13"/>
      <c r="O230" s="13"/>
      <c r="P230" s="13"/>
      <c r="Q230" s="13"/>
      <c r="R230" s="13"/>
      <c r="S230" s="13"/>
    </row>
    <row r="231" spans="1:19" ht="16.5" x14ac:dyDescent="0.45">
      <c r="A231" s="13"/>
      <c r="B231" s="291" t="s">
        <v>70</v>
      </c>
      <c r="C231" s="447">
        <v>7.8</v>
      </c>
      <c r="D231" s="447">
        <v>7.8</v>
      </c>
      <c r="E231" s="447">
        <v>8.6</v>
      </c>
      <c r="F231" s="346">
        <v>8.6</v>
      </c>
      <c r="G231" s="352">
        <v>7.2</v>
      </c>
      <c r="H231" s="291" t="s">
        <v>70</v>
      </c>
      <c r="I231" s="349">
        <v>6.9</v>
      </c>
      <c r="J231" s="349">
        <v>7.2</v>
      </c>
      <c r="K231" s="13"/>
      <c r="N231" s="13"/>
      <c r="O231" s="13"/>
      <c r="P231" s="13"/>
      <c r="Q231" s="13"/>
      <c r="R231" s="13"/>
      <c r="S231" s="13"/>
    </row>
    <row r="232" spans="1:19" ht="32" x14ac:dyDescent="0.45">
      <c r="A232" s="13"/>
      <c r="B232" s="291" t="s">
        <v>71</v>
      </c>
      <c r="C232" s="447">
        <v>13.6</v>
      </c>
      <c r="D232" s="447">
        <v>13.6</v>
      </c>
      <c r="E232" s="447">
        <v>16.3</v>
      </c>
      <c r="F232" s="346">
        <v>16.3</v>
      </c>
      <c r="G232" s="352">
        <v>14.2</v>
      </c>
      <c r="H232" s="291" t="s">
        <v>71</v>
      </c>
      <c r="I232" s="349">
        <v>11.6</v>
      </c>
      <c r="J232" s="349">
        <v>10.5</v>
      </c>
      <c r="K232" s="13"/>
      <c r="N232" s="13"/>
      <c r="O232" s="13"/>
      <c r="P232" s="13"/>
      <c r="Q232" s="13"/>
      <c r="R232" s="13"/>
      <c r="S232" s="13"/>
    </row>
    <row r="233" spans="1:19" ht="16.5" x14ac:dyDescent="0.45">
      <c r="A233" s="13"/>
      <c r="B233" s="291" t="s">
        <v>50</v>
      </c>
      <c r="C233" s="531" t="s">
        <v>59</v>
      </c>
      <c r="D233" s="447">
        <v>17.8</v>
      </c>
      <c r="E233" s="531" t="s">
        <v>59</v>
      </c>
      <c r="F233" s="346">
        <v>26.7</v>
      </c>
      <c r="G233" s="352">
        <v>11.2</v>
      </c>
      <c r="H233" s="291" t="s">
        <v>50</v>
      </c>
      <c r="I233" s="349">
        <v>15.4</v>
      </c>
      <c r="J233" s="349">
        <v>18.3</v>
      </c>
      <c r="K233" s="13"/>
      <c r="N233" s="13"/>
      <c r="O233" s="13"/>
      <c r="P233" s="13"/>
      <c r="Q233" s="13"/>
      <c r="R233" s="13"/>
      <c r="S233" s="13"/>
    </row>
    <row r="234" spans="1:19" ht="17" thickBot="1" x14ac:dyDescent="0.5">
      <c r="A234" s="13"/>
      <c r="B234" s="399" t="s">
        <v>179</v>
      </c>
      <c r="C234" s="448">
        <v>10.9</v>
      </c>
      <c r="D234" s="448">
        <v>10.9</v>
      </c>
      <c r="E234" s="448">
        <v>13.6</v>
      </c>
      <c r="F234" s="347">
        <v>13.6</v>
      </c>
      <c r="G234" s="353">
        <v>32.299999999999997</v>
      </c>
      <c r="H234" s="291" t="s">
        <v>73</v>
      </c>
      <c r="I234" s="349">
        <v>13.5</v>
      </c>
      <c r="J234" s="349">
        <v>7.7</v>
      </c>
      <c r="K234" s="13"/>
      <c r="N234" s="13"/>
      <c r="O234" s="13"/>
      <c r="P234" s="13"/>
      <c r="Q234" s="13"/>
      <c r="R234" s="13"/>
      <c r="S234" s="13"/>
    </row>
    <row r="235" spans="1:19" ht="18" thickBot="1" x14ac:dyDescent="0.5">
      <c r="A235" s="13"/>
      <c r="B235" s="132"/>
      <c r="F235" s="13"/>
      <c r="G235" s="132"/>
      <c r="H235" s="292" t="s">
        <v>72</v>
      </c>
      <c r="I235" s="350">
        <v>10.6</v>
      </c>
      <c r="J235" s="350">
        <v>9</v>
      </c>
      <c r="K235" s="13"/>
      <c r="N235" s="13"/>
      <c r="O235" s="13"/>
      <c r="P235" s="13"/>
      <c r="Q235" s="13"/>
      <c r="R235" s="13"/>
      <c r="S235" s="13"/>
    </row>
    <row r="236" spans="1:19" ht="17.5" x14ac:dyDescent="0.45">
      <c r="A236" s="13"/>
      <c r="B236" s="139"/>
      <c r="C236" s="13"/>
      <c r="D236" s="132"/>
      <c r="E236" s="132"/>
      <c r="F236" s="132"/>
      <c r="G236" s="144"/>
      <c r="H236" s="132"/>
      <c r="I236" s="132"/>
      <c r="J236" s="13"/>
      <c r="N236" s="13"/>
      <c r="O236" s="13"/>
      <c r="P236" s="13"/>
      <c r="Q236" s="13"/>
      <c r="R236" s="13"/>
    </row>
    <row r="237" spans="1:19" s="9" customFormat="1" ht="17.5" x14ac:dyDescent="0.45">
      <c r="B237" s="15" t="s">
        <v>12</v>
      </c>
      <c r="C237" s="15"/>
      <c r="D237" s="21"/>
      <c r="E237" s="21"/>
      <c r="F237" s="21"/>
      <c r="G237" s="21"/>
      <c r="H237" s="21"/>
      <c r="I237" s="21"/>
      <c r="K237" s="21"/>
    </row>
    <row r="238" spans="1:19" ht="8.5" customHeight="1" thickBot="1" x14ac:dyDescent="0.5">
      <c r="A238" s="13"/>
      <c r="B238" s="139"/>
      <c r="C238" s="139"/>
      <c r="D238" s="132"/>
      <c r="E238" s="132"/>
      <c r="F238" s="132"/>
      <c r="G238" s="132"/>
      <c r="H238" s="132"/>
      <c r="I238" s="132"/>
      <c r="J238" s="13"/>
      <c r="N238" s="13"/>
      <c r="O238" s="13"/>
      <c r="P238" s="13"/>
      <c r="Q238" s="13"/>
      <c r="R238" s="13"/>
    </row>
    <row r="239" spans="1:19" ht="32" x14ac:dyDescent="0.35">
      <c r="A239" s="13"/>
      <c r="B239" s="626" t="s">
        <v>68</v>
      </c>
      <c r="C239" s="626" t="s">
        <v>33</v>
      </c>
      <c r="D239" s="626" t="s">
        <v>34</v>
      </c>
      <c r="E239" s="626" t="s">
        <v>35</v>
      </c>
      <c r="F239" s="626" t="s">
        <v>36</v>
      </c>
      <c r="G239" s="296" t="s">
        <v>37</v>
      </c>
      <c r="H239" s="626" t="s">
        <v>68</v>
      </c>
      <c r="I239" s="396" t="s">
        <v>180</v>
      </c>
      <c r="J239" s="145"/>
      <c r="K239" s="152"/>
      <c r="O239" s="13"/>
      <c r="P239" s="13"/>
      <c r="Q239" s="13"/>
      <c r="R239" s="13"/>
      <c r="S239" s="13"/>
    </row>
    <row r="240" spans="1:19" ht="16.5" x14ac:dyDescent="0.45">
      <c r="A240" s="13"/>
      <c r="B240" s="272" t="s">
        <v>32</v>
      </c>
      <c r="C240" s="435">
        <v>4465</v>
      </c>
      <c r="D240" s="435">
        <v>4751</v>
      </c>
      <c r="E240" s="435">
        <f>F240-F244</f>
        <v>3485</v>
      </c>
      <c r="F240" s="293">
        <v>3828</v>
      </c>
      <c r="G240" s="379">
        <v>6388</v>
      </c>
      <c r="H240" s="272" t="s">
        <v>32</v>
      </c>
      <c r="I240" s="277">
        <v>8227</v>
      </c>
      <c r="J240" s="147"/>
      <c r="K240" s="148"/>
      <c r="O240" s="13"/>
      <c r="P240" s="13"/>
      <c r="Q240" s="13"/>
      <c r="R240" s="13"/>
      <c r="S240" s="13"/>
    </row>
    <row r="241" spans="1:19" ht="16.5" x14ac:dyDescent="0.45">
      <c r="A241" s="13"/>
      <c r="B241" s="291" t="s">
        <v>69</v>
      </c>
      <c r="C241" s="436">
        <v>2524</v>
      </c>
      <c r="D241" s="436">
        <v>2766</v>
      </c>
      <c r="E241" s="436">
        <v>2293</v>
      </c>
      <c r="F241" s="294">
        <v>2293</v>
      </c>
      <c r="G241" s="380">
        <v>4701</v>
      </c>
      <c r="H241" s="291" t="s">
        <v>69</v>
      </c>
      <c r="I241" s="269">
        <v>6151</v>
      </c>
      <c r="J241" s="149"/>
      <c r="K241" s="150"/>
      <c r="O241" s="13"/>
      <c r="P241" s="13"/>
      <c r="Q241" s="13"/>
      <c r="R241" s="13"/>
      <c r="S241" s="13"/>
    </row>
    <row r="242" spans="1:19" ht="16.5" x14ac:dyDescent="0.45">
      <c r="A242" s="13"/>
      <c r="B242" s="291" t="s">
        <v>70</v>
      </c>
      <c r="C242" s="436">
        <v>1323</v>
      </c>
      <c r="D242" s="436">
        <v>1323</v>
      </c>
      <c r="E242" s="436">
        <v>852</v>
      </c>
      <c r="F242" s="294">
        <v>852</v>
      </c>
      <c r="G242" s="380">
        <v>709</v>
      </c>
      <c r="H242" s="291" t="s">
        <v>70</v>
      </c>
      <c r="I242" s="269">
        <v>1007</v>
      </c>
      <c r="J242" s="149"/>
      <c r="K242" s="150"/>
      <c r="O242" s="13"/>
      <c r="P242" s="13"/>
      <c r="Q242" s="13"/>
      <c r="R242" s="13"/>
      <c r="S242" s="13"/>
    </row>
    <row r="243" spans="1:19" ht="32" x14ac:dyDescent="0.45">
      <c r="A243" s="13"/>
      <c r="B243" s="291" t="s">
        <v>71</v>
      </c>
      <c r="C243" s="436">
        <v>240</v>
      </c>
      <c r="D243" s="436">
        <v>240</v>
      </c>
      <c r="E243" s="436">
        <v>232</v>
      </c>
      <c r="F243" s="294">
        <v>232</v>
      </c>
      <c r="G243" s="380">
        <v>261</v>
      </c>
      <c r="H243" s="291" t="s">
        <v>71</v>
      </c>
      <c r="I243" s="269">
        <v>336</v>
      </c>
      <c r="J243" s="149"/>
      <c r="K243" s="150"/>
      <c r="O243" s="13"/>
      <c r="P243" s="13"/>
      <c r="Q243" s="13"/>
      <c r="R243" s="13"/>
      <c r="S243" s="13"/>
    </row>
    <row r="244" spans="1:19" ht="16.5" x14ac:dyDescent="0.45">
      <c r="A244" s="13"/>
      <c r="B244" s="291" t="s">
        <v>50</v>
      </c>
      <c r="C244" s="531" t="s">
        <v>59</v>
      </c>
      <c r="D244" s="436">
        <v>286</v>
      </c>
      <c r="E244" s="531" t="s">
        <v>59</v>
      </c>
      <c r="F244" s="294">
        <v>343</v>
      </c>
      <c r="G244" s="380">
        <v>421</v>
      </c>
      <c r="H244" s="291" t="s">
        <v>50</v>
      </c>
      <c r="I244" s="269">
        <v>249</v>
      </c>
      <c r="J244" s="149"/>
      <c r="K244" s="150"/>
      <c r="O244" s="13"/>
      <c r="P244" s="13"/>
      <c r="Q244" s="13"/>
      <c r="R244" s="13"/>
      <c r="S244" s="13"/>
    </row>
    <row r="245" spans="1:19" ht="17" thickBot="1" x14ac:dyDescent="0.5">
      <c r="A245" s="13"/>
      <c r="B245" s="292" t="s">
        <v>72</v>
      </c>
      <c r="C245" s="437">
        <v>136</v>
      </c>
      <c r="D245" s="437">
        <v>136</v>
      </c>
      <c r="E245" s="437">
        <v>108</v>
      </c>
      <c r="F245" s="295">
        <v>108</v>
      </c>
      <c r="G245" s="381">
        <v>296</v>
      </c>
      <c r="H245" s="291" t="s">
        <v>73</v>
      </c>
      <c r="I245" s="269">
        <v>333</v>
      </c>
      <c r="J245" s="149"/>
      <c r="K245" s="150"/>
      <c r="O245" s="13"/>
      <c r="P245" s="13"/>
      <c r="Q245" s="13"/>
      <c r="R245" s="13"/>
      <c r="S245" s="13"/>
    </row>
    <row r="246" spans="1:19" ht="18" thickBot="1" x14ac:dyDescent="0.5">
      <c r="A246" s="13"/>
      <c r="B246" s="132"/>
      <c r="F246" s="13"/>
      <c r="G246" s="132"/>
      <c r="H246" s="292" t="s">
        <v>72</v>
      </c>
      <c r="I246" s="290">
        <v>151</v>
      </c>
      <c r="J246" s="149"/>
      <c r="K246" s="150"/>
      <c r="O246" s="13"/>
      <c r="P246" s="13"/>
      <c r="Q246" s="13"/>
      <c r="R246" s="13"/>
      <c r="S246" s="13"/>
    </row>
    <row r="247" spans="1:19" ht="17.5" x14ac:dyDescent="0.45">
      <c r="A247" s="13"/>
      <c r="B247" s="132"/>
      <c r="C247" s="132"/>
      <c r="D247" s="144"/>
      <c r="E247" s="146"/>
      <c r="F247" s="151"/>
      <c r="G247" s="151"/>
      <c r="H247" s="151"/>
      <c r="I247" s="132"/>
      <c r="J247" s="13"/>
      <c r="N247" s="13"/>
      <c r="O247" s="13"/>
      <c r="P247" s="13"/>
      <c r="Q247" s="13"/>
      <c r="R247" s="13"/>
    </row>
    <row r="248" spans="1:19" s="9" customFormat="1" ht="17.5" x14ac:dyDescent="0.45">
      <c r="B248" s="15" t="s">
        <v>14</v>
      </c>
      <c r="C248" s="15"/>
      <c r="D248" s="21"/>
      <c r="E248" s="21"/>
      <c r="F248" s="21"/>
      <c r="G248" s="21"/>
      <c r="H248" s="21"/>
      <c r="I248" s="21"/>
      <c r="K248" s="21"/>
    </row>
    <row r="249" spans="1:19" ht="7.15" customHeight="1" thickBot="1" x14ac:dyDescent="0.5">
      <c r="A249" s="13"/>
      <c r="B249" s="139"/>
      <c r="C249" s="139"/>
      <c r="D249" s="132"/>
      <c r="E249" s="132"/>
      <c r="F249" s="132"/>
      <c r="G249" s="132"/>
      <c r="H249" s="132"/>
      <c r="I249" s="132"/>
      <c r="J249" s="13"/>
      <c r="K249" s="13"/>
      <c r="L249" s="13"/>
      <c r="M249" s="13"/>
      <c r="N249" s="13"/>
      <c r="O249" s="13"/>
      <c r="P249" s="13"/>
      <c r="Q249" s="13"/>
      <c r="R249" s="13"/>
    </row>
    <row r="250" spans="1:19" ht="32" x14ac:dyDescent="0.45">
      <c r="A250" s="13"/>
      <c r="B250" s="626" t="s">
        <v>146</v>
      </c>
      <c r="C250" s="626" t="s">
        <v>33</v>
      </c>
      <c r="D250" s="626" t="s">
        <v>34</v>
      </c>
      <c r="E250" s="626" t="s">
        <v>35</v>
      </c>
      <c r="F250" s="626" t="s">
        <v>36</v>
      </c>
      <c r="G250" s="626" t="s">
        <v>37</v>
      </c>
      <c r="H250" s="626" t="s">
        <v>57</v>
      </c>
      <c r="I250" s="132"/>
      <c r="J250" s="132"/>
      <c r="K250" s="13"/>
      <c r="L250" s="13"/>
      <c r="M250" s="13"/>
      <c r="N250" s="13"/>
      <c r="O250" s="13"/>
      <c r="P250" s="13"/>
      <c r="Q250" s="13"/>
      <c r="R250" s="13"/>
      <c r="S250" s="13"/>
    </row>
    <row r="251" spans="1:19" ht="17.5" x14ac:dyDescent="0.45">
      <c r="A251" s="13"/>
      <c r="B251" s="344" t="s">
        <v>143</v>
      </c>
      <c r="C251" s="460">
        <v>0.82099999999999995</v>
      </c>
      <c r="D251" s="460">
        <v>0.81399999999999995</v>
      </c>
      <c r="E251" s="460">
        <v>0.82499999999999996</v>
      </c>
      <c r="F251" s="382">
        <v>0.81200000000000006</v>
      </c>
      <c r="G251" s="354">
        <v>0.89214151534126485</v>
      </c>
      <c r="H251" s="354">
        <v>0.90500000000000003</v>
      </c>
      <c r="I251" s="132"/>
      <c r="J251" s="132"/>
      <c r="K251" s="13"/>
      <c r="L251" s="13"/>
      <c r="M251" s="13"/>
      <c r="N251" s="13"/>
      <c r="O251" s="13"/>
      <c r="P251" s="13"/>
      <c r="Q251" s="13"/>
      <c r="R251" s="13"/>
      <c r="S251" s="13"/>
    </row>
    <row r="252" spans="1:19" ht="18" thickBot="1" x14ac:dyDescent="0.5">
      <c r="A252" s="13"/>
      <c r="B252" s="292" t="s">
        <v>144</v>
      </c>
      <c r="C252" s="461">
        <v>0.17899999999999999</v>
      </c>
      <c r="D252" s="461">
        <v>0.186</v>
      </c>
      <c r="E252" s="461">
        <v>0.17499999999999999</v>
      </c>
      <c r="F252" s="383">
        <v>0.188</v>
      </c>
      <c r="G252" s="355">
        <v>0.10785848465873513</v>
      </c>
      <c r="H252" s="360">
        <v>9.5000000000000001E-2</v>
      </c>
      <c r="I252" s="132"/>
      <c r="J252" s="132"/>
      <c r="K252" s="13"/>
      <c r="L252" s="13"/>
      <c r="M252" s="13"/>
      <c r="N252" s="13"/>
      <c r="O252" s="13"/>
      <c r="P252" s="13"/>
      <c r="Q252" s="13"/>
      <c r="R252" s="13"/>
      <c r="S252" s="13"/>
    </row>
    <row r="253" spans="1:19" ht="17.5" x14ac:dyDescent="0.45">
      <c r="A253" s="13"/>
      <c r="B253" s="139"/>
      <c r="C253" s="139"/>
      <c r="D253" s="132"/>
      <c r="E253" s="132"/>
      <c r="F253" s="132"/>
      <c r="G253" s="132"/>
      <c r="H253" s="132"/>
      <c r="I253" s="132"/>
      <c r="J253" s="13"/>
      <c r="K253" s="13"/>
      <c r="L253" s="13"/>
      <c r="M253" s="13"/>
      <c r="N253" s="13"/>
      <c r="O253" s="13"/>
      <c r="P253" s="13"/>
      <c r="Q253" s="13"/>
      <c r="R253" s="13"/>
    </row>
    <row r="254" spans="1:19" s="9" customFormat="1" ht="17.5" x14ac:dyDescent="0.45">
      <c r="B254" s="15" t="s">
        <v>16</v>
      </c>
      <c r="C254" s="15"/>
      <c r="D254" s="21"/>
      <c r="E254" s="21"/>
      <c r="F254" s="21"/>
      <c r="G254" s="21"/>
      <c r="H254" s="21"/>
      <c r="I254" s="21"/>
      <c r="K254" s="21"/>
    </row>
    <row r="255" spans="1:19" ht="7.9" customHeight="1" thickBot="1" x14ac:dyDescent="0.5">
      <c r="A255" s="13"/>
      <c r="B255" s="139"/>
      <c r="C255" s="139"/>
      <c r="D255" s="132"/>
      <c r="E255" s="132"/>
      <c r="F255" s="132"/>
      <c r="G255" s="132"/>
      <c r="H255" s="132"/>
      <c r="I255" s="132"/>
      <c r="J255" s="13"/>
      <c r="K255" s="13"/>
      <c r="L255" s="13"/>
      <c r="N255" s="13"/>
      <c r="O255" s="13"/>
      <c r="P255" s="13"/>
      <c r="Q255" s="13"/>
      <c r="R255" s="13"/>
    </row>
    <row r="256" spans="1:19" ht="32" x14ac:dyDescent="0.35">
      <c r="A256" s="13"/>
      <c r="B256" s="626" t="s">
        <v>46</v>
      </c>
      <c r="C256" s="626" t="s">
        <v>33</v>
      </c>
      <c r="D256" s="626" t="s">
        <v>34</v>
      </c>
      <c r="E256" s="626" t="s">
        <v>35</v>
      </c>
      <c r="F256" s="626" t="s">
        <v>36</v>
      </c>
      <c r="G256" s="626" t="s">
        <v>37</v>
      </c>
      <c r="H256" s="626" t="s">
        <v>57</v>
      </c>
      <c r="I256" s="13"/>
      <c r="J256" s="13"/>
      <c r="K256" s="13"/>
      <c r="L256" s="13"/>
    </row>
    <row r="257" spans="1:19" ht="16" x14ac:dyDescent="0.35">
      <c r="A257" s="13"/>
      <c r="B257" s="354" t="s">
        <v>151</v>
      </c>
      <c r="C257" s="462">
        <v>0.45300000000000001</v>
      </c>
      <c r="D257" s="462">
        <v>0.41699999999999998</v>
      </c>
      <c r="E257" s="462">
        <v>0.46500000000000002</v>
      </c>
      <c r="F257" s="354">
        <v>0.46800000000000003</v>
      </c>
      <c r="G257" s="356">
        <v>0.43706950532247962</v>
      </c>
      <c r="H257" s="356">
        <v>0.46899999999999997</v>
      </c>
      <c r="I257" s="13"/>
      <c r="J257" s="13"/>
      <c r="K257" s="13"/>
    </row>
    <row r="258" spans="1:19" ht="16" x14ac:dyDescent="0.35">
      <c r="A258" s="13"/>
      <c r="B258" s="354" t="s">
        <v>152</v>
      </c>
      <c r="C258" s="462">
        <v>0.184</v>
      </c>
      <c r="D258" s="462">
        <v>0.191</v>
      </c>
      <c r="E258" s="462">
        <v>0.17499999999999999</v>
      </c>
      <c r="F258" s="354">
        <v>0.17399999999999999</v>
      </c>
      <c r="G258" s="356">
        <v>0.18237319974953037</v>
      </c>
      <c r="H258" s="356">
        <v>0.17499999999999999</v>
      </c>
      <c r="I258" s="13"/>
      <c r="J258" s="13"/>
      <c r="K258" s="13"/>
    </row>
    <row r="259" spans="1:19" ht="16" x14ac:dyDescent="0.35">
      <c r="A259" s="13"/>
      <c r="B259" s="354" t="s">
        <v>153</v>
      </c>
      <c r="C259" s="462">
        <v>0.23200000000000001</v>
      </c>
      <c r="D259" s="462">
        <v>0.255</v>
      </c>
      <c r="E259" s="462">
        <v>0.224</v>
      </c>
      <c r="F259" s="354">
        <v>0.221</v>
      </c>
      <c r="G259" s="356">
        <v>0.22730118973074515</v>
      </c>
      <c r="H259" s="356">
        <v>0.219</v>
      </c>
      <c r="I259" s="13"/>
      <c r="J259" s="13"/>
      <c r="K259" s="13"/>
    </row>
    <row r="260" spans="1:19" ht="16" x14ac:dyDescent="0.35">
      <c r="A260" s="13"/>
      <c r="B260" s="354" t="s">
        <v>154</v>
      </c>
      <c r="C260" s="462">
        <v>9.8000000000000004E-2</v>
      </c>
      <c r="D260" s="462">
        <v>0.105</v>
      </c>
      <c r="E260" s="462">
        <v>0.105</v>
      </c>
      <c r="F260" s="354">
        <v>0.106</v>
      </c>
      <c r="G260" s="356">
        <v>0.11693800876643706</v>
      </c>
      <c r="H260" s="356">
        <v>0.108</v>
      </c>
      <c r="I260" s="13"/>
      <c r="J260" s="13"/>
      <c r="K260" s="13"/>
    </row>
    <row r="261" spans="1:19" ht="16" x14ac:dyDescent="0.35">
      <c r="A261" s="13"/>
      <c r="B261" s="354" t="s">
        <v>155</v>
      </c>
      <c r="C261" s="462">
        <v>0.03</v>
      </c>
      <c r="D261" s="462">
        <v>2.8000000000000001E-2</v>
      </c>
      <c r="E261" s="462">
        <v>2.9000000000000001E-2</v>
      </c>
      <c r="F261" s="354">
        <v>0.03</v>
      </c>
      <c r="G261" s="356">
        <v>3.3656856606136508E-2</v>
      </c>
      <c r="H261" s="356">
        <v>2.7E-2</v>
      </c>
      <c r="I261" s="13"/>
      <c r="J261" s="13"/>
      <c r="K261" s="13"/>
    </row>
    <row r="262" spans="1:19" ht="16" x14ac:dyDescent="0.35">
      <c r="A262" s="13"/>
      <c r="B262" s="355" t="s">
        <v>156</v>
      </c>
      <c r="C262" s="463">
        <v>3.7999999999999999E-2</v>
      </c>
      <c r="D262" s="463">
        <v>4.2999999999999997E-2</v>
      </c>
      <c r="E262" s="463">
        <v>1E-3</v>
      </c>
      <c r="F262" s="355">
        <v>1E-3</v>
      </c>
      <c r="G262" s="357">
        <v>2.6612398246712585E-3</v>
      </c>
      <c r="H262" s="357">
        <v>2E-3</v>
      </c>
      <c r="I262" s="13"/>
      <c r="J262" s="13"/>
      <c r="K262" s="13"/>
      <c r="L262" s="13"/>
    </row>
    <row r="263" spans="1:19" ht="17.5" x14ac:dyDescent="0.45">
      <c r="A263" s="13"/>
      <c r="B263" s="139"/>
      <c r="C263" s="139"/>
      <c r="D263" s="132"/>
      <c r="E263" s="132"/>
      <c r="F263" s="132"/>
      <c r="G263" s="132"/>
      <c r="H263" s="132"/>
      <c r="I263" s="132"/>
      <c r="J263" s="13"/>
      <c r="K263" s="13"/>
      <c r="L263" s="13"/>
      <c r="N263" s="13"/>
      <c r="O263" s="13"/>
      <c r="P263" s="13"/>
      <c r="Q263" s="13"/>
      <c r="R263" s="13"/>
    </row>
    <row r="264" spans="1:19" s="9" customFormat="1" ht="17.5" x14ac:dyDescent="0.45">
      <c r="B264" s="394" t="s">
        <v>181</v>
      </c>
      <c r="C264" s="15"/>
      <c r="D264" s="21"/>
      <c r="E264" s="21"/>
      <c r="F264" s="21"/>
      <c r="G264" s="21"/>
      <c r="H264" s="21"/>
      <c r="I264" s="21"/>
      <c r="K264" s="21"/>
    </row>
    <row r="265" spans="1:19" ht="6.65" customHeight="1" thickBot="1" x14ac:dyDescent="0.5">
      <c r="A265" s="13"/>
      <c r="B265" s="17"/>
      <c r="C265" s="17"/>
      <c r="D265" s="16"/>
      <c r="E265" s="16"/>
      <c r="F265" s="16"/>
      <c r="G265" s="16"/>
      <c r="H265" s="16"/>
      <c r="I265" s="16"/>
      <c r="J265" s="13"/>
      <c r="N265" s="13"/>
      <c r="O265" s="13"/>
      <c r="P265" s="13"/>
      <c r="Q265" s="13"/>
      <c r="R265" s="13"/>
    </row>
    <row r="266" spans="1:19" ht="32" x14ac:dyDescent="0.35">
      <c r="A266" s="13"/>
      <c r="B266" s="654" t="s">
        <v>182</v>
      </c>
      <c r="C266" s="655"/>
      <c r="D266" s="626" t="s">
        <v>33</v>
      </c>
      <c r="E266" s="626" t="s">
        <v>34</v>
      </c>
      <c r="F266" s="626" t="s">
        <v>35</v>
      </c>
      <c r="G266" s="395" t="s">
        <v>183</v>
      </c>
      <c r="H266" s="268" t="s">
        <v>37</v>
      </c>
      <c r="I266" s="268" t="s">
        <v>57</v>
      </c>
      <c r="J266" s="268" t="s">
        <v>39</v>
      </c>
      <c r="K266" s="13"/>
      <c r="O266" s="13"/>
      <c r="P266" s="13"/>
      <c r="Q266" s="13"/>
      <c r="R266" s="13"/>
      <c r="S266" s="13"/>
    </row>
    <row r="267" spans="1:19" ht="16" x14ac:dyDescent="0.35">
      <c r="A267" s="13"/>
      <c r="B267" s="656" t="s">
        <v>184</v>
      </c>
      <c r="C267" s="657"/>
      <c r="D267" s="543">
        <v>0.83</v>
      </c>
      <c r="E267" s="543" t="s">
        <v>53</v>
      </c>
      <c r="F267" s="543" t="s">
        <v>53</v>
      </c>
      <c r="G267" s="358" t="s">
        <v>53</v>
      </c>
      <c r="H267" s="358">
        <v>0.92</v>
      </c>
      <c r="I267" s="358">
        <v>0.94</v>
      </c>
      <c r="J267" s="358">
        <v>0.93</v>
      </c>
      <c r="K267" s="13"/>
      <c r="O267" s="13"/>
      <c r="P267" s="13"/>
      <c r="Q267" s="13"/>
      <c r="R267" s="13"/>
      <c r="S267" s="13"/>
    </row>
    <row r="268" spans="1:19" ht="48" x14ac:dyDescent="0.35">
      <c r="A268" s="13"/>
      <c r="B268" s="656" t="s">
        <v>185</v>
      </c>
      <c r="C268" s="657"/>
      <c r="D268" s="543" t="s">
        <v>186</v>
      </c>
      <c r="E268" s="543" t="s">
        <v>53</v>
      </c>
      <c r="F268" s="543" t="s">
        <v>53</v>
      </c>
      <c r="G268" s="358" t="s">
        <v>53</v>
      </c>
      <c r="H268" s="358">
        <v>0.72</v>
      </c>
      <c r="I268" s="358">
        <v>0.72</v>
      </c>
      <c r="J268" s="358">
        <v>0.72</v>
      </c>
      <c r="K268" s="13"/>
      <c r="O268" s="13"/>
      <c r="P268" s="13"/>
      <c r="Q268" s="13"/>
      <c r="R268" s="13"/>
      <c r="S268" s="13"/>
    </row>
    <row r="269" spans="1:19" ht="47.5" customHeight="1" thickBot="1" x14ac:dyDescent="0.4">
      <c r="A269" s="13"/>
      <c r="B269" s="658" t="s">
        <v>187</v>
      </c>
      <c r="C269" s="659"/>
      <c r="D269" s="544" t="s">
        <v>186</v>
      </c>
      <c r="E269" s="544" t="s">
        <v>53</v>
      </c>
      <c r="F269" s="544" t="s">
        <v>53</v>
      </c>
      <c r="G269" s="359" t="s">
        <v>53</v>
      </c>
      <c r="H269" s="359">
        <v>0.69</v>
      </c>
      <c r="I269" s="359">
        <v>0.69</v>
      </c>
      <c r="J269" s="359">
        <v>0.67</v>
      </c>
      <c r="K269" s="13"/>
      <c r="O269" s="13"/>
      <c r="P269" s="13"/>
      <c r="Q269" s="13"/>
      <c r="R269" s="13"/>
      <c r="S269" s="13"/>
    </row>
    <row r="270" spans="1:19" ht="17.5" x14ac:dyDescent="0.45">
      <c r="A270" s="13"/>
      <c r="B270" s="139"/>
      <c r="C270" s="139"/>
      <c r="D270" s="132"/>
      <c r="E270" s="132"/>
      <c r="F270" s="132"/>
      <c r="G270" s="132"/>
      <c r="H270" s="132"/>
      <c r="I270" s="132"/>
      <c r="J270" s="13"/>
      <c r="N270" s="13"/>
      <c r="O270" s="13"/>
      <c r="P270" s="13"/>
      <c r="Q270" s="13"/>
      <c r="R270" s="13"/>
    </row>
    <row r="271" spans="1:19" s="9" customFormat="1" ht="17.5" x14ac:dyDescent="0.45">
      <c r="B271" s="15" t="s">
        <v>20</v>
      </c>
      <c r="C271" s="15"/>
      <c r="D271" s="21"/>
      <c r="E271" s="21"/>
      <c r="F271" s="21"/>
      <c r="G271" s="21"/>
      <c r="H271" s="21"/>
      <c r="I271" s="21"/>
      <c r="K271" s="21"/>
    </row>
    <row r="272" spans="1:19" ht="7.9" customHeight="1" thickBot="1" x14ac:dyDescent="0.5">
      <c r="A272" s="13"/>
      <c r="B272" s="139"/>
      <c r="C272" s="139"/>
      <c r="D272" s="132"/>
      <c r="E272" s="132"/>
      <c r="F272" s="132"/>
      <c r="G272" s="132"/>
      <c r="H272" s="132"/>
      <c r="I272" s="132"/>
      <c r="J272" s="13"/>
      <c r="K272" s="13"/>
      <c r="L272" s="13"/>
      <c r="M272" s="13"/>
      <c r="N272" s="13"/>
      <c r="O272" s="13"/>
      <c r="P272" s="13"/>
      <c r="Q272" s="13"/>
      <c r="R272" s="13"/>
    </row>
    <row r="273" spans="1:19" ht="32" x14ac:dyDescent="0.35">
      <c r="A273" s="13"/>
      <c r="B273" s="654" t="s">
        <v>188</v>
      </c>
      <c r="C273" s="655"/>
      <c r="D273" s="626" t="s">
        <v>33</v>
      </c>
      <c r="E273" s="626" t="s">
        <v>34</v>
      </c>
      <c r="F273" s="626" t="s">
        <v>35</v>
      </c>
      <c r="G273" s="268" t="s">
        <v>36</v>
      </c>
      <c r="H273" s="268" t="s">
        <v>37</v>
      </c>
      <c r="I273" s="268" t="s">
        <v>57</v>
      </c>
      <c r="J273" s="268" t="s">
        <v>39</v>
      </c>
      <c r="K273" s="13"/>
      <c r="L273" s="13"/>
      <c r="M273" s="13"/>
      <c r="O273" s="13"/>
      <c r="P273" s="13"/>
      <c r="Q273" s="13"/>
      <c r="R273" s="13"/>
      <c r="S273" s="13"/>
    </row>
    <row r="274" spans="1:19" ht="16.5" thickBot="1" x14ac:dyDescent="0.4">
      <c r="A274" s="13"/>
      <c r="B274" s="652" t="s">
        <v>189</v>
      </c>
      <c r="C274" s="653"/>
      <c r="D274" s="361">
        <v>5.9</v>
      </c>
      <c r="E274" s="361">
        <v>5.5</v>
      </c>
      <c r="F274" s="361">
        <v>5</v>
      </c>
      <c r="G274" s="361">
        <v>4.7</v>
      </c>
      <c r="H274" s="361">
        <v>6.6</v>
      </c>
      <c r="I274" s="361">
        <v>9.6999999999999993</v>
      </c>
      <c r="J274" s="361">
        <v>13.3</v>
      </c>
      <c r="K274" s="13"/>
      <c r="L274" s="13"/>
      <c r="M274" s="13"/>
      <c r="O274" s="13"/>
      <c r="P274" s="13"/>
      <c r="Q274" s="13"/>
      <c r="R274" s="13"/>
      <c r="S274" s="13"/>
    </row>
    <row r="275" spans="1:19" ht="17.5" x14ac:dyDescent="0.45">
      <c r="A275" s="13"/>
      <c r="B275" s="139"/>
      <c r="C275" s="139"/>
      <c r="D275" s="132"/>
      <c r="E275" s="132"/>
      <c r="F275" s="132"/>
      <c r="G275" s="132"/>
      <c r="H275" s="132"/>
      <c r="I275" s="132"/>
      <c r="J275" s="13"/>
      <c r="K275" s="13"/>
      <c r="L275" s="13"/>
      <c r="N275" s="13"/>
      <c r="O275" s="13"/>
      <c r="P275" s="13"/>
      <c r="Q275" s="13"/>
      <c r="R275" s="13"/>
    </row>
    <row r="276" spans="1:19" s="9" customFormat="1" ht="17.5" x14ac:dyDescent="0.45">
      <c r="B276" s="15" t="s">
        <v>22</v>
      </c>
      <c r="C276" s="15"/>
      <c r="D276" s="21"/>
      <c r="E276" s="21"/>
      <c r="F276" s="21"/>
      <c r="G276" s="21"/>
      <c r="H276" s="21"/>
      <c r="I276" s="21"/>
      <c r="K276" s="21"/>
    </row>
    <row r="277" spans="1:19" ht="7.15" customHeight="1" thickBot="1" x14ac:dyDescent="0.5">
      <c r="A277" s="13"/>
      <c r="B277" s="139"/>
      <c r="C277" s="139"/>
      <c r="D277" s="132"/>
      <c r="E277" s="132"/>
      <c r="F277" s="132"/>
      <c r="G277" s="132"/>
      <c r="H277" s="132"/>
      <c r="I277" s="132"/>
      <c r="J277" s="13"/>
      <c r="K277" s="13"/>
      <c r="L277" s="13"/>
      <c r="N277" s="13"/>
      <c r="O277" s="13"/>
      <c r="P277" s="13"/>
      <c r="Q277" s="13"/>
      <c r="R277" s="13"/>
    </row>
    <row r="278" spans="1:19" ht="32" x14ac:dyDescent="0.35">
      <c r="A278" s="13"/>
      <c r="B278" s="626" t="s">
        <v>146</v>
      </c>
      <c r="C278" s="626" t="s">
        <v>33</v>
      </c>
      <c r="D278" s="626" t="s">
        <v>34</v>
      </c>
      <c r="E278" s="626" t="s">
        <v>35</v>
      </c>
      <c r="F278" s="268" t="s">
        <v>36</v>
      </c>
      <c r="G278" s="626" t="s">
        <v>37</v>
      </c>
      <c r="H278" s="626" t="s">
        <v>57</v>
      </c>
      <c r="I278" s="396" t="s">
        <v>190</v>
      </c>
      <c r="J278" s="143"/>
      <c r="K278" s="13"/>
      <c r="O278" s="13"/>
      <c r="P278" s="13"/>
      <c r="Q278" s="13"/>
      <c r="R278" s="13"/>
      <c r="S278" s="13"/>
    </row>
    <row r="279" spans="1:19" ht="16" x14ac:dyDescent="0.35">
      <c r="A279" s="13"/>
      <c r="B279" s="344" t="s">
        <v>143</v>
      </c>
      <c r="C279" s="464">
        <v>0.92700000000000005</v>
      </c>
      <c r="D279" s="464">
        <v>0.92300000000000004</v>
      </c>
      <c r="E279" s="464" t="s">
        <v>53</v>
      </c>
      <c r="F279" s="312">
        <v>0.98</v>
      </c>
      <c r="G279" s="312">
        <v>0.92500000000000004</v>
      </c>
      <c r="H279" s="312">
        <v>0.95899999999999996</v>
      </c>
      <c r="I279" s="312">
        <v>0.95599999999999996</v>
      </c>
      <c r="J279" s="139"/>
      <c r="K279" s="13"/>
      <c r="L279" s="13"/>
      <c r="M279" s="13"/>
      <c r="O279" s="13"/>
      <c r="P279" s="13"/>
      <c r="Q279" s="13"/>
      <c r="R279" s="13"/>
      <c r="S279" s="13"/>
    </row>
    <row r="280" spans="1:19" ht="16.5" thickBot="1" x14ac:dyDescent="0.4">
      <c r="A280" s="13"/>
      <c r="B280" s="292" t="s">
        <v>144</v>
      </c>
      <c r="C280" s="465">
        <v>7.2999999999999995E-2</v>
      </c>
      <c r="D280" s="465">
        <v>7.6999999999999999E-2</v>
      </c>
      <c r="E280" s="465"/>
      <c r="F280" s="360">
        <v>0.02</v>
      </c>
      <c r="G280" s="360">
        <v>7.4999999999999997E-2</v>
      </c>
      <c r="H280" s="360">
        <v>4.1000000000000002E-2</v>
      </c>
      <c r="I280" s="360">
        <v>4.3999999999999997E-2</v>
      </c>
      <c r="J280" s="143"/>
      <c r="K280" s="13"/>
      <c r="L280" s="13"/>
      <c r="M280" s="13"/>
      <c r="O280" s="13"/>
      <c r="P280" s="13"/>
      <c r="Q280" s="13"/>
      <c r="R280" s="13"/>
      <c r="S280" s="13"/>
    </row>
    <row r="281" spans="1:19" ht="17.5" x14ac:dyDescent="0.45">
      <c r="A281" s="13"/>
      <c r="B281" s="144"/>
      <c r="C281" s="144"/>
      <c r="D281" s="144"/>
      <c r="I281" s="132"/>
      <c r="J281" s="13"/>
      <c r="K281" s="13"/>
      <c r="L281" s="13"/>
      <c r="N281" s="13"/>
      <c r="O281" s="13"/>
      <c r="P281" s="13"/>
      <c r="Q281" s="13"/>
      <c r="R281" s="13"/>
    </row>
    <row r="282" spans="1:19" s="9" customFormat="1" ht="17.5" x14ac:dyDescent="0.45">
      <c r="B282" s="15" t="s">
        <v>24</v>
      </c>
      <c r="C282" s="15"/>
      <c r="D282" s="21"/>
      <c r="E282" s="21"/>
      <c r="F282" s="21"/>
      <c r="G282" s="21"/>
      <c r="H282" s="21"/>
      <c r="I282" s="21"/>
      <c r="K282" s="21"/>
    </row>
    <row r="283" spans="1:19" ht="9" customHeight="1" thickBot="1" x14ac:dyDescent="0.5">
      <c r="A283" s="13"/>
      <c r="B283" s="139"/>
      <c r="C283" s="139"/>
      <c r="D283" s="132"/>
      <c r="E283" s="132"/>
      <c r="F283" s="132"/>
      <c r="G283" s="132"/>
      <c r="H283" s="132"/>
      <c r="I283" s="132"/>
      <c r="J283" s="13"/>
      <c r="K283" s="13"/>
      <c r="L283" s="13"/>
      <c r="N283" s="13"/>
      <c r="O283" s="13"/>
      <c r="P283" s="13"/>
      <c r="Q283" s="13"/>
      <c r="R283" s="13"/>
    </row>
    <row r="284" spans="1:19" ht="32" x14ac:dyDescent="0.35">
      <c r="A284" s="13"/>
      <c r="B284" s="626" t="s">
        <v>68</v>
      </c>
      <c r="C284" s="626" t="s">
        <v>33</v>
      </c>
      <c r="D284" s="626" t="s">
        <v>34</v>
      </c>
      <c r="E284" s="626" t="s">
        <v>35</v>
      </c>
      <c r="F284" s="268" t="s">
        <v>36</v>
      </c>
      <c r="G284" s="296" t="s">
        <v>37</v>
      </c>
      <c r="H284" s="626" t="s">
        <v>68</v>
      </c>
      <c r="I284" s="626" t="s">
        <v>57</v>
      </c>
      <c r="J284" s="626" t="s">
        <v>39</v>
      </c>
      <c r="K284" s="13"/>
      <c r="O284" s="13"/>
      <c r="P284" s="13"/>
      <c r="Q284" s="13"/>
      <c r="R284" s="13"/>
      <c r="S284" s="13"/>
    </row>
    <row r="285" spans="1:19" ht="16" x14ac:dyDescent="0.35">
      <c r="A285" s="13"/>
      <c r="B285" s="344" t="s">
        <v>191</v>
      </c>
      <c r="C285" s="466">
        <v>13.8</v>
      </c>
      <c r="D285" s="466">
        <v>13.8</v>
      </c>
      <c r="E285" s="466">
        <v>9.3000000000000007</v>
      </c>
      <c r="F285" s="349">
        <v>9.3000000000000007</v>
      </c>
      <c r="G285" s="352">
        <v>12.3</v>
      </c>
      <c r="H285" s="344" t="s">
        <v>191</v>
      </c>
      <c r="I285" s="349">
        <v>20</v>
      </c>
      <c r="J285" s="349">
        <v>25.6</v>
      </c>
      <c r="K285" s="13"/>
      <c r="O285" s="13"/>
      <c r="P285" s="13"/>
      <c r="Q285" s="13"/>
      <c r="R285" s="13"/>
      <c r="S285" s="13"/>
    </row>
    <row r="286" spans="1:19" ht="16" x14ac:dyDescent="0.35">
      <c r="A286" s="13"/>
      <c r="B286" s="344" t="s">
        <v>192</v>
      </c>
      <c r="C286" s="466">
        <v>2</v>
      </c>
      <c r="D286" s="466">
        <v>2</v>
      </c>
      <c r="E286" s="466">
        <v>2.4</v>
      </c>
      <c r="F286" s="349">
        <v>2.4</v>
      </c>
      <c r="G286" s="352">
        <v>2.7</v>
      </c>
      <c r="H286" s="344" t="s">
        <v>192</v>
      </c>
      <c r="I286" s="349">
        <v>2.5</v>
      </c>
      <c r="J286" s="349">
        <v>2.7</v>
      </c>
      <c r="K286" s="13"/>
      <c r="O286" s="13"/>
      <c r="P286" s="13"/>
      <c r="Q286" s="13"/>
      <c r="R286" s="13"/>
      <c r="S286" s="13"/>
    </row>
    <row r="287" spans="1:19" ht="32" x14ac:dyDescent="0.35">
      <c r="A287" s="13"/>
      <c r="B287" s="344" t="s">
        <v>193</v>
      </c>
      <c r="C287" s="466">
        <v>5.2</v>
      </c>
      <c r="D287" s="466">
        <v>5.2</v>
      </c>
      <c r="E287" s="466">
        <v>4.5999999999999996</v>
      </c>
      <c r="F287" s="349">
        <v>4.5999999999999996</v>
      </c>
      <c r="G287" s="352">
        <v>7.1</v>
      </c>
      <c r="H287" s="344" t="s">
        <v>193</v>
      </c>
      <c r="I287" s="349">
        <v>6.3</v>
      </c>
      <c r="J287" s="349">
        <v>7.4</v>
      </c>
      <c r="K287" s="13"/>
      <c r="O287" s="13"/>
      <c r="P287" s="13"/>
      <c r="Q287" s="13"/>
      <c r="R287" s="13"/>
      <c r="S287" s="13"/>
    </row>
    <row r="288" spans="1:19" ht="16" x14ac:dyDescent="0.35">
      <c r="A288" s="13"/>
      <c r="B288" s="400" t="s">
        <v>194</v>
      </c>
      <c r="C288" s="466">
        <v>6</v>
      </c>
      <c r="D288" s="466">
        <v>6</v>
      </c>
      <c r="E288" s="466">
        <v>5.0999999999999996</v>
      </c>
      <c r="F288" s="349">
        <v>5.0999999999999996</v>
      </c>
      <c r="G288" s="352">
        <v>7.1</v>
      </c>
      <c r="H288" s="400" t="s">
        <v>194</v>
      </c>
      <c r="I288" s="349">
        <v>11</v>
      </c>
      <c r="J288" s="349">
        <v>14.2</v>
      </c>
      <c r="K288" s="13"/>
      <c r="O288" s="13"/>
      <c r="P288" s="13"/>
      <c r="Q288" s="13"/>
      <c r="R288" s="13"/>
      <c r="S288" s="13"/>
    </row>
    <row r="289" spans="1:20" ht="16" x14ac:dyDescent="0.35">
      <c r="A289" s="13"/>
      <c r="B289" s="344" t="s">
        <v>50</v>
      </c>
      <c r="C289" s="467" t="s">
        <v>59</v>
      </c>
      <c r="D289" s="466">
        <v>1.4</v>
      </c>
      <c r="E289" s="467" t="s">
        <v>59</v>
      </c>
      <c r="F289" s="349">
        <v>1.9</v>
      </c>
      <c r="G289" s="352">
        <v>2.6</v>
      </c>
      <c r="H289" s="344" t="s">
        <v>50</v>
      </c>
      <c r="I289" s="349">
        <v>2.6</v>
      </c>
      <c r="J289" s="349">
        <v>5.4</v>
      </c>
      <c r="K289" s="13"/>
      <c r="O289" s="13"/>
      <c r="P289" s="13"/>
      <c r="Q289" s="13"/>
      <c r="R289" s="13"/>
      <c r="S289" s="13"/>
    </row>
    <row r="290" spans="1:20" ht="16.5" thickBot="1" x14ac:dyDescent="0.4">
      <c r="A290" s="13"/>
      <c r="B290" s="292" t="s">
        <v>32</v>
      </c>
      <c r="C290" s="468">
        <v>5.9</v>
      </c>
      <c r="D290" s="468">
        <v>5.5</v>
      </c>
      <c r="E290" s="545">
        <v>5</v>
      </c>
      <c r="F290" s="350">
        <v>4.7</v>
      </c>
      <c r="G290" s="353">
        <v>6.6</v>
      </c>
      <c r="H290" s="400" t="s">
        <v>195</v>
      </c>
      <c r="I290" s="349">
        <v>7.4</v>
      </c>
      <c r="J290" s="349">
        <v>13.4</v>
      </c>
      <c r="K290" s="13"/>
      <c r="L290" s="13"/>
      <c r="M290" s="13"/>
      <c r="O290" s="13"/>
      <c r="P290" s="13"/>
      <c r="Q290" s="13"/>
      <c r="R290" s="13"/>
      <c r="S290" s="13"/>
    </row>
    <row r="291" spans="1:20" ht="18" thickBot="1" x14ac:dyDescent="0.5">
      <c r="A291" s="13"/>
      <c r="B291" s="132"/>
      <c r="F291" s="13"/>
      <c r="G291" s="132"/>
      <c r="H291" s="292" t="s">
        <v>32</v>
      </c>
      <c r="I291" s="350">
        <v>9.6999999999999993</v>
      </c>
      <c r="J291" s="350">
        <v>13.3</v>
      </c>
      <c r="K291" s="13"/>
      <c r="L291" s="13"/>
      <c r="M291" s="13"/>
      <c r="O291" s="13"/>
      <c r="P291" s="13"/>
      <c r="Q291" s="13"/>
      <c r="R291" s="13"/>
      <c r="S291" s="13"/>
    </row>
    <row r="292" spans="1:20" ht="17.5" x14ac:dyDescent="0.45">
      <c r="A292" s="13"/>
      <c r="B292" s="143"/>
      <c r="C292" s="143"/>
      <c r="D292" s="132"/>
      <c r="E292" s="132"/>
      <c r="F292" s="132"/>
      <c r="G292" s="132"/>
      <c r="H292" s="132"/>
      <c r="I292" s="132"/>
      <c r="J292" s="13"/>
      <c r="K292" s="13"/>
      <c r="L292" s="13"/>
      <c r="N292" s="13"/>
      <c r="O292" s="13"/>
      <c r="P292" s="13"/>
      <c r="Q292" s="13"/>
      <c r="R292" s="13"/>
    </row>
    <row r="293" spans="1:20" s="377" customFormat="1" ht="21" x14ac:dyDescent="0.55000000000000004">
      <c r="B293" s="14" t="s">
        <v>26</v>
      </c>
      <c r="C293" s="14"/>
      <c r="D293" s="378"/>
      <c r="E293" s="378"/>
      <c r="F293" s="378"/>
      <c r="G293" s="378"/>
      <c r="H293" s="378"/>
      <c r="I293" s="378"/>
      <c r="K293" s="378"/>
    </row>
    <row r="294" spans="1:20" ht="4.9000000000000004" customHeight="1" x14ac:dyDescent="0.45">
      <c r="A294" s="13"/>
      <c r="B294" s="17"/>
      <c r="C294" s="17"/>
      <c r="D294" s="16"/>
      <c r="E294" s="16"/>
      <c r="F294" s="16"/>
      <c r="G294" s="16"/>
      <c r="H294" s="16"/>
      <c r="I294" s="16"/>
      <c r="N294" s="13"/>
      <c r="O294" s="13"/>
      <c r="P294" s="13"/>
      <c r="Q294" s="13"/>
      <c r="R294" s="13"/>
    </row>
    <row r="295" spans="1:20" s="9" customFormat="1" ht="17.5" x14ac:dyDescent="0.45">
      <c r="B295" s="15" t="s">
        <v>28</v>
      </c>
      <c r="C295" s="15"/>
      <c r="D295" s="21"/>
      <c r="E295" s="21"/>
      <c r="F295" s="21"/>
      <c r="G295" s="21"/>
      <c r="H295" s="21"/>
      <c r="I295" s="21"/>
      <c r="K295" s="21"/>
    </row>
    <row r="296" spans="1:20" ht="8.5" customHeight="1" thickBot="1" x14ac:dyDescent="0.5">
      <c r="A296" s="13"/>
      <c r="B296" s="139"/>
      <c r="C296" s="139"/>
      <c r="D296" s="132"/>
      <c r="E296" s="132"/>
      <c r="F296" s="132"/>
      <c r="G296" s="132"/>
      <c r="H296" s="132"/>
      <c r="I296" s="132"/>
      <c r="J296" s="13"/>
      <c r="K296" s="13"/>
      <c r="L296" s="13"/>
      <c r="M296" s="13"/>
      <c r="N296" s="13"/>
      <c r="O296" s="13"/>
      <c r="P296" s="13"/>
      <c r="Q296" s="13"/>
      <c r="R296" s="13"/>
    </row>
    <row r="297" spans="1:20" ht="32" x14ac:dyDescent="0.35">
      <c r="A297" s="13"/>
      <c r="B297" s="626" t="s">
        <v>196</v>
      </c>
      <c r="C297" s="626" t="s">
        <v>33</v>
      </c>
      <c r="D297" s="626" t="s">
        <v>34</v>
      </c>
      <c r="E297" s="626" t="s">
        <v>35</v>
      </c>
      <c r="F297" s="268" t="s">
        <v>36</v>
      </c>
      <c r="G297" s="626" t="s">
        <v>37</v>
      </c>
      <c r="H297" s="626" t="s">
        <v>57</v>
      </c>
      <c r="I297" s="626" t="s">
        <v>39</v>
      </c>
      <c r="J297" s="626" t="s">
        <v>197</v>
      </c>
      <c r="K297" s="626" t="s">
        <v>198</v>
      </c>
      <c r="L297" s="626" t="s">
        <v>199</v>
      </c>
      <c r="M297" s="13"/>
      <c r="N297" s="13"/>
      <c r="O297" s="13"/>
      <c r="P297" s="13"/>
      <c r="Q297" s="13"/>
      <c r="R297" s="13"/>
      <c r="S297" s="13"/>
      <c r="T297" s="13"/>
    </row>
    <row r="298" spans="1:20" ht="32.5" thickBot="1" x14ac:dyDescent="0.4">
      <c r="A298" s="13"/>
      <c r="B298" s="362" t="s">
        <v>200</v>
      </c>
      <c r="C298" s="469">
        <v>11441.85</v>
      </c>
      <c r="D298" s="280">
        <v>11659.65</v>
      </c>
      <c r="E298" s="280">
        <v>12421</v>
      </c>
      <c r="F298" s="363">
        <v>12667.07</v>
      </c>
      <c r="G298" s="363">
        <v>19702.47</v>
      </c>
      <c r="H298" s="364">
        <v>19578</v>
      </c>
      <c r="I298" s="364">
        <v>23800</v>
      </c>
      <c r="J298" s="364">
        <v>16833</v>
      </c>
      <c r="K298" s="364">
        <v>50079</v>
      </c>
      <c r="L298" s="364">
        <v>32415</v>
      </c>
      <c r="M298" s="13"/>
      <c r="N298" s="13"/>
      <c r="O298" s="13"/>
      <c r="P298" s="13"/>
      <c r="Q298" s="13"/>
      <c r="R298" s="13"/>
      <c r="S298" s="13"/>
      <c r="T298" s="13"/>
    </row>
    <row r="299" spans="1:20" ht="18" thickBot="1" x14ac:dyDescent="0.5">
      <c r="A299" s="13"/>
      <c r="B299" s="139"/>
      <c r="C299" s="139"/>
      <c r="D299" s="132"/>
      <c r="E299" s="132"/>
      <c r="F299" s="132"/>
      <c r="G299" s="132"/>
      <c r="H299" s="132"/>
      <c r="I299" s="132"/>
      <c r="J299" s="13"/>
      <c r="K299" s="13"/>
      <c r="L299" s="13"/>
      <c r="M299" s="13"/>
      <c r="N299" s="13"/>
      <c r="O299" s="13"/>
      <c r="P299" s="13"/>
      <c r="Q299" s="13"/>
      <c r="R299" s="13"/>
    </row>
    <row r="300" spans="1:20" ht="32.5" thickBot="1" x14ac:dyDescent="0.5">
      <c r="A300" s="13"/>
      <c r="B300" s="367" t="s">
        <v>46</v>
      </c>
      <c r="C300" s="321" t="s">
        <v>68</v>
      </c>
      <c r="D300" s="321" t="s">
        <v>201</v>
      </c>
      <c r="E300" s="321" t="s">
        <v>202</v>
      </c>
      <c r="F300" s="321" t="s">
        <v>203</v>
      </c>
      <c r="G300" s="321" t="s">
        <v>204</v>
      </c>
      <c r="H300" s="321" t="s">
        <v>205</v>
      </c>
      <c r="I300" s="16"/>
      <c r="J300" s="13"/>
      <c r="K300" s="13"/>
      <c r="L300" s="13"/>
      <c r="M300" s="13"/>
      <c r="N300" s="13"/>
      <c r="O300" s="13"/>
      <c r="P300" s="13"/>
      <c r="Q300" s="13"/>
      <c r="R300" s="13"/>
    </row>
    <row r="301" spans="1:20" ht="17.5" x14ac:dyDescent="0.45">
      <c r="A301" s="13"/>
      <c r="B301" s="365" t="s">
        <v>157</v>
      </c>
      <c r="C301" s="368" t="s">
        <v>32</v>
      </c>
      <c r="D301" s="470">
        <v>1.03</v>
      </c>
      <c r="E301" s="470">
        <v>0.89</v>
      </c>
      <c r="F301" s="470">
        <v>1.37</v>
      </c>
      <c r="G301" s="478">
        <v>0.67</v>
      </c>
      <c r="H301" s="479">
        <v>2.4700000000000002</v>
      </c>
      <c r="I301" s="16"/>
      <c r="J301" s="13"/>
      <c r="K301" s="13"/>
      <c r="L301" s="13"/>
      <c r="M301" s="13"/>
      <c r="N301" s="13"/>
      <c r="O301" s="13"/>
      <c r="P301" s="13"/>
      <c r="Q301" s="13"/>
      <c r="R301" s="13"/>
    </row>
    <row r="302" spans="1:20" ht="17.5" x14ac:dyDescent="0.45">
      <c r="A302" s="13"/>
      <c r="B302" s="366" t="s">
        <v>158</v>
      </c>
      <c r="C302" s="344" t="s">
        <v>69</v>
      </c>
      <c r="D302" s="473">
        <v>1.32</v>
      </c>
      <c r="E302" s="473">
        <v>1.06</v>
      </c>
      <c r="F302" s="473">
        <v>2.3199999999999998</v>
      </c>
      <c r="G302" s="473">
        <v>0.4</v>
      </c>
      <c r="H302" s="473">
        <v>2.98</v>
      </c>
      <c r="I302" s="16"/>
      <c r="J302" s="13"/>
      <c r="K302" s="13"/>
      <c r="L302" s="13"/>
      <c r="M302" s="13"/>
      <c r="N302" s="13"/>
      <c r="O302" s="13"/>
      <c r="P302" s="13"/>
      <c r="Q302" s="13"/>
      <c r="R302" s="13"/>
    </row>
    <row r="303" spans="1:20" ht="17.5" x14ac:dyDescent="0.45">
      <c r="A303" s="13"/>
      <c r="B303" s="366"/>
      <c r="C303" s="344" t="s">
        <v>70</v>
      </c>
      <c r="D303" s="473">
        <v>0.69</v>
      </c>
      <c r="E303" s="473">
        <v>0.56000000000000005</v>
      </c>
      <c r="F303" s="473">
        <v>1</v>
      </c>
      <c r="G303" s="473">
        <v>0.8</v>
      </c>
      <c r="H303" s="473">
        <v>3.14</v>
      </c>
      <c r="I303" s="16"/>
      <c r="J303" s="13"/>
      <c r="K303" s="13"/>
      <c r="L303" s="13"/>
      <c r="M303" s="13"/>
      <c r="N303" s="13"/>
      <c r="O303" s="13"/>
      <c r="P303" s="13"/>
      <c r="Q303" s="13"/>
      <c r="R303" s="13"/>
    </row>
    <row r="304" spans="1:20" ht="17.5" x14ac:dyDescent="0.45">
      <c r="A304" s="13"/>
      <c r="B304" s="366"/>
      <c r="C304" s="344" t="s">
        <v>71</v>
      </c>
      <c r="D304" s="473">
        <v>1.47</v>
      </c>
      <c r="E304" s="473">
        <v>1.49</v>
      </c>
      <c r="F304" s="473">
        <v>1.27</v>
      </c>
      <c r="G304" s="473">
        <v>1.3</v>
      </c>
      <c r="H304" s="473">
        <v>2.46</v>
      </c>
      <c r="I304" s="16"/>
      <c r="J304" s="13"/>
      <c r="K304" s="13"/>
      <c r="L304" s="13"/>
      <c r="M304" s="13"/>
      <c r="N304" s="13"/>
      <c r="O304" s="13"/>
      <c r="P304" s="13"/>
      <c r="Q304" s="13"/>
      <c r="R304" s="13"/>
    </row>
    <row r="305" spans="1:18" ht="17.5" x14ac:dyDescent="0.45">
      <c r="A305" s="13"/>
      <c r="B305" s="366"/>
      <c r="C305" s="344" t="s">
        <v>50</v>
      </c>
      <c r="D305" s="531" t="s">
        <v>59</v>
      </c>
      <c r="E305" s="531" t="s">
        <v>59</v>
      </c>
      <c r="F305" s="531" t="s">
        <v>59</v>
      </c>
      <c r="G305" s="531" t="s">
        <v>59</v>
      </c>
      <c r="H305" s="531" t="s">
        <v>59</v>
      </c>
      <c r="I305" s="16"/>
      <c r="J305" s="13"/>
      <c r="K305" s="13"/>
      <c r="L305" s="13"/>
      <c r="M305" s="13"/>
      <c r="N305" s="13"/>
      <c r="O305" s="13"/>
      <c r="P305" s="13"/>
      <c r="Q305" s="13"/>
      <c r="R305" s="13"/>
    </row>
    <row r="306" spans="1:18" ht="18" thickBot="1" x14ac:dyDescent="0.5">
      <c r="A306" s="13"/>
      <c r="B306" s="299"/>
      <c r="C306" s="292" t="s">
        <v>72</v>
      </c>
      <c r="D306" s="480">
        <v>0.82</v>
      </c>
      <c r="E306" s="480">
        <v>0.56000000000000005</v>
      </c>
      <c r="F306" s="480">
        <v>1.1000000000000001</v>
      </c>
      <c r="G306" s="480">
        <v>1.1000000000000001</v>
      </c>
      <c r="H306" s="480">
        <v>0.67</v>
      </c>
      <c r="I306" s="16"/>
      <c r="J306" s="13"/>
      <c r="K306" s="13"/>
      <c r="L306" s="13"/>
      <c r="M306" s="13"/>
      <c r="N306" s="13"/>
      <c r="O306" s="13"/>
      <c r="P306" s="13"/>
      <c r="Q306" s="13"/>
      <c r="R306" s="13"/>
    </row>
    <row r="307" spans="1:18" ht="17.5" x14ac:dyDescent="0.45">
      <c r="A307" s="13"/>
      <c r="B307" s="365" t="s">
        <v>157</v>
      </c>
      <c r="C307" s="368" t="s">
        <v>32</v>
      </c>
      <c r="D307" s="470">
        <v>0.96</v>
      </c>
      <c r="E307" s="470">
        <v>0.9</v>
      </c>
      <c r="F307" s="470">
        <v>1.41</v>
      </c>
      <c r="G307" s="471">
        <v>0.64</v>
      </c>
      <c r="H307" s="472">
        <v>2.3199999999999998</v>
      </c>
      <c r="I307" s="16"/>
      <c r="J307" s="13"/>
      <c r="K307" s="13"/>
      <c r="L307" s="13"/>
      <c r="M307" s="13"/>
      <c r="N307" s="13"/>
      <c r="O307" s="13"/>
      <c r="P307" s="13"/>
      <c r="Q307" s="13"/>
      <c r="R307" s="13"/>
    </row>
    <row r="308" spans="1:18" ht="17.5" x14ac:dyDescent="0.45">
      <c r="A308" s="13"/>
      <c r="B308" s="366" t="s">
        <v>160</v>
      </c>
      <c r="C308" s="344" t="s">
        <v>69</v>
      </c>
      <c r="D308" s="473">
        <v>1.32</v>
      </c>
      <c r="E308" s="473">
        <v>1.06</v>
      </c>
      <c r="F308" s="473">
        <v>2.3199999999999998</v>
      </c>
      <c r="G308" s="473">
        <v>0.4</v>
      </c>
      <c r="H308" s="473">
        <v>2.98</v>
      </c>
      <c r="I308" s="16"/>
      <c r="J308" s="13"/>
      <c r="K308" s="13"/>
      <c r="L308" s="13"/>
      <c r="M308" s="13"/>
      <c r="N308" s="13"/>
      <c r="O308" s="13"/>
      <c r="P308" s="13"/>
      <c r="Q308" s="13"/>
      <c r="R308" s="13"/>
    </row>
    <row r="309" spans="1:18" ht="17.5" x14ac:dyDescent="0.45">
      <c r="A309" s="13"/>
      <c r="B309" s="366"/>
      <c r="C309" s="344" t="s">
        <v>70</v>
      </c>
      <c r="D309" s="473">
        <v>0.69</v>
      </c>
      <c r="E309" s="473">
        <v>0.56000000000000005</v>
      </c>
      <c r="F309" s="473">
        <v>1</v>
      </c>
      <c r="G309" s="473">
        <v>0.8</v>
      </c>
      <c r="H309" s="473">
        <v>3.14</v>
      </c>
      <c r="I309" s="16"/>
      <c r="J309" s="13"/>
      <c r="K309" s="13"/>
      <c r="L309" s="13"/>
      <c r="M309" s="13"/>
      <c r="N309" s="13"/>
      <c r="O309" s="13"/>
      <c r="P309" s="13"/>
      <c r="Q309" s="13"/>
      <c r="R309" s="13"/>
    </row>
    <row r="310" spans="1:18" ht="17.5" x14ac:dyDescent="0.45">
      <c r="A310" s="13"/>
      <c r="B310" s="366"/>
      <c r="C310" s="344" t="s">
        <v>71</v>
      </c>
      <c r="D310" s="473">
        <v>1.47</v>
      </c>
      <c r="E310" s="473">
        <v>1.49</v>
      </c>
      <c r="F310" s="473">
        <v>1.27</v>
      </c>
      <c r="G310" s="473">
        <v>1.3</v>
      </c>
      <c r="H310" s="473">
        <v>2.46</v>
      </c>
      <c r="I310" s="16"/>
      <c r="J310" s="13"/>
      <c r="K310" s="13"/>
      <c r="L310" s="13"/>
      <c r="M310" s="13"/>
      <c r="N310" s="13"/>
      <c r="O310" s="13"/>
      <c r="P310" s="13"/>
      <c r="Q310" s="13"/>
      <c r="R310" s="13"/>
    </row>
    <row r="311" spans="1:18" ht="17.5" x14ac:dyDescent="0.45">
      <c r="A311" s="13"/>
      <c r="B311" s="366"/>
      <c r="C311" s="344" t="s">
        <v>50</v>
      </c>
      <c r="D311" s="474">
        <v>0.22</v>
      </c>
      <c r="E311" s="474">
        <v>0.16</v>
      </c>
      <c r="F311" s="474">
        <v>0.38</v>
      </c>
      <c r="G311" s="475">
        <v>0.15</v>
      </c>
      <c r="H311" s="476">
        <v>0.62</v>
      </c>
      <c r="I311" s="16"/>
      <c r="J311" s="13"/>
      <c r="K311" s="13"/>
      <c r="L311" s="13"/>
      <c r="M311" s="13"/>
      <c r="N311" s="13"/>
      <c r="O311" s="13"/>
      <c r="P311" s="13"/>
      <c r="Q311" s="13"/>
      <c r="R311" s="13"/>
    </row>
    <row r="312" spans="1:18" ht="18" thickBot="1" x14ac:dyDescent="0.5">
      <c r="A312" s="13"/>
      <c r="B312" s="299"/>
      <c r="C312" s="292" t="s">
        <v>72</v>
      </c>
      <c r="D312" s="477">
        <v>0.82</v>
      </c>
      <c r="E312" s="477">
        <v>0.56000000000000005</v>
      </c>
      <c r="F312" s="477">
        <v>1.1000000000000001</v>
      </c>
      <c r="G312" s="477">
        <v>1.1000000000000001</v>
      </c>
      <c r="H312" s="477">
        <v>0.67</v>
      </c>
      <c r="I312" s="16"/>
      <c r="J312" s="13"/>
      <c r="K312" s="13"/>
      <c r="L312" s="13"/>
      <c r="M312" s="13"/>
      <c r="N312" s="13"/>
      <c r="O312" s="13"/>
      <c r="P312" s="13"/>
      <c r="Q312" s="13"/>
      <c r="R312" s="13"/>
    </row>
    <row r="313" spans="1:18" ht="17.5" x14ac:dyDescent="0.45">
      <c r="A313" s="13"/>
      <c r="B313" s="365" t="s">
        <v>35</v>
      </c>
      <c r="C313" s="368" t="s">
        <v>32</v>
      </c>
      <c r="D313" s="546">
        <v>0.98</v>
      </c>
      <c r="E313" s="546">
        <v>0.86</v>
      </c>
      <c r="F313" s="546">
        <v>1.46</v>
      </c>
      <c r="G313" s="546">
        <v>0.8</v>
      </c>
      <c r="H313" s="546">
        <v>2.0099999999999998</v>
      </c>
      <c r="I313" s="16"/>
      <c r="J313" s="13"/>
      <c r="K313" s="13"/>
      <c r="L313" s="13"/>
      <c r="M313" s="13"/>
      <c r="N313" s="13"/>
      <c r="O313" s="13"/>
      <c r="P313" s="13"/>
      <c r="Q313" s="13"/>
      <c r="R313" s="13"/>
    </row>
    <row r="314" spans="1:18" ht="17.5" x14ac:dyDescent="0.45">
      <c r="A314" s="13"/>
      <c r="B314" s="366"/>
      <c r="C314" s="344" t="s">
        <v>69</v>
      </c>
      <c r="D314" s="371">
        <v>0.67</v>
      </c>
      <c r="E314" s="371">
        <v>0.57999999999999996</v>
      </c>
      <c r="F314" s="371">
        <v>1.33</v>
      </c>
      <c r="G314" s="371">
        <v>0.45</v>
      </c>
      <c r="H314" s="371">
        <v>2.5</v>
      </c>
      <c r="I314" s="16"/>
      <c r="J314" s="13"/>
      <c r="K314" s="13"/>
      <c r="L314" s="13"/>
      <c r="M314" s="13"/>
      <c r="N314" s="13"/>
      <c r="O314" s="13"/>
      <c r="P314" s="13"/>
      <c r="Q314" s="13"/>
      <c r="R314" s="13"/>
    </row>
    <row r="315" spans="1:18" ht="17.5" x14ac:dyDescent="0.45">
      <c r="A315" s="13"/>
      <c r="B315" s="366"/>
      <c r="C315" s="344" t="s">
        <v>70</v>
      </c>
      <c r="D315" s="371">
        <v>0.51</v>
      </c>
      <c r="E315" s="371">
        <v>0.63</v>
      </c>
      <c r="F315" s="371">
        <v>0.2</v>
      </c>
      <c r="G315" s="371">
        <v>0.54</v>
      </c>
      <c r="H315" s="371">
        <v>0.37</v>
      </c>
      <c r="I315" s="16"/>
      <c r="J315" s="13"/>
      <c r="K315" s="13"/>
      <c r="L315" s="13"/>
      <c r="M315" s="13"/>
      <c r="N315" s="13"/>
      <c r="O315" s="13"/>
      <c r="P315" s="13"/>
      <c r="Q315" s="13"/>
      <c r="R315" s="13"/>
    </row>
    <row r="316" spans="1:18" ht="17.5" x14ac:dyDescent="0.45">
      <c r="A316" s="13"/>
      <c r="B316" s="366"/>
      <c r="C316" s="344" t="s">
        <v>71</v>
      </c>
      <c r="D316" s="371">
        <v>3.55</v>
      </c>
      <c r="E316" s="371">
        <v>2.64</v>
      </c>
      <c r="F316" s="371">
        <v>7.51</v>
      </c>
      <c r="G316" s="371">
        <v>2.92</v>
      </c>
      <c r="H316" s="371">
        <v>7.31</v>
      </c>
      <c r="I316" s="16"/>
      <c r="J316" s="13"/>
      <c r="K316" s="13"/>
      <c r="L316" s="13"/>
      <c r="M316" s="13"/>
      <c r="N316" s="13"/>
      <c r="O316" s="13"/>
      <c r="P316" s="13"/>
      <c r="Q316" s="13"/>
      <c r="R316" s="13"/>
    </row>
    <row r="317" spans="1:18" ht="17.5" x14ac:dyDescent="0.45">
      <c r="A317" s="13"/>
      <c r="B317" s="366"/>
      <c r="C317" s="344" t="s">
        <v>50</v>
      </c>
      <c r="D317" s="531" t="s">
        <v>59</v>
      </c>
      <c r="E317" s="531" t="s">
        <v>59</v>
      </c>
      <c r="F317" s="531" t="s">
        <v>59</v>
      </c>
      <c r="G317" s="531" t="s">
        <v>59</v>
      </c>
      <c r="H317" s="531" t="s">
        <v>59</v>
      </c>
      <c r="I317" s="16"/>
      <c r="J317" s="13"/>
      <c r="K317" s="13"/>
      <c r="L317" s="13"/>
      <c r="M317" s="13"/>
      <c r="N317" s="13"/>
      <c r="O317" s="13"/>
      <c r="P317" s="13"/>
      <c r="Q317" s="13"/>
      <c r="R317" s="13"/>
    </row>
    <row r="318" spans="1:18" ht="18" thickBot="1" x14ac:dyDescent="0.5">
      <c r="A318" s="13"/>
      <c r="B318" s="299"/>
      <c r="C318" s="292" t="s">
        <v>72</v>
      </c>
      <c r="D318" s="338">
        <v>0.42</v>
      </c>
      <c r="E318" s="338">
        <v>0.44</v>
      </c>
      <c r="F318" s="338">
        <v>0.39</v>
      </c>
      <c r="G318" s="338">
        <v>0.55000000000000004</v>
      </c>
      <c r="H318" s="338">
        <v>0.36</v>
      </c>
      <c r="I318" s="16"/>
      <c r="J318" s="13"/>
      <c r="K318" s="13"/>
      <c r="L318" s="13"/>
      <c r="M318" s="13"/>
      <c r="N318" s="13"/>
      <c r="O318" s="13"/>
      <c r="P318" s="13"/>
      <c r="Q318" s="13"/>
      <c r="R318" s="13"/>
    </row>
    <row r="319" spans="1:18" ht="17.5" x14ac:dyDescent="0.45">
      <c r="A319" s="13"/>
      <c r="B319" s="365" t="s">
        <v>36</v>
      </c>
      <c r="C319" s="368" t="s">
        <v>32</v>
      </c>
      <c r="D319" s="370">
        <v>0.93</v>
      </c>
      <c r="E319" s="370">
        <v>0.82</v>
      </c>
      <c r="F319" s="370">
        <v>1.36</v>
      </c>
      <c r="G319" s="370">
        <v>0.75</v>
      </c>
      <c r="H319" s="370">
        <v>1.94</v>
      </c>
      <c r="I319" s="132"/>
      <c r="J319" s="13"/>
      <c r="K319" s="13"/>
      <c r="L319" s="13"/>
      <c r="M319" s="13"/>
      <c r="N319" s="13"/>
      <c r="O319" s="13"/>
      <c r="P319" s="13"/>
      <c r="Q319" s="13"/>
      <c r="R319" s="13"/>
    </row>
    <row r="320" spans="1:18" ht="17.5" x14ac:dyDescent="0.45">
      <c r="A320" s="13"/>
      <c r="B320" s="366"/>
      <c r="C320" s="344" t="s">
        <v>69</v>
      </c>
      <c r="D320" s="371">
        <v>0.67</v>
      </c>
      <c r="E320" s="371">
        <v>0.57999999999999996</v>
      </c>
      <c r="F320" s="371">
        <v>1.33</v>
      </c>
      <c r="G320" s="371">
        <v>0.45</v>
      </c>
      <c r="H320" s="371">
        <v>2.5</v>
      </c>
      <c r="I320" s="132"/>
      <c r="J320" s="13"/>
      <c r="K320" s="13"/>
      <c r="L320" s="13"/>
      <c r="M320" s="13"/>
      <c r="N320" s="13"/>
      <c r="O320" s="13"/>
      <c r="P320" s="13"/>
      <c r="Q320" s="13"/>
      <c r="R320" s="13"/>
    </row>
    <row r="321" spans="1:18" ht="17.5" x14ac:dyDescent="0.45">
      <c r="A321" s="13"/>
      <c r="B321" s="366"/>
      <c r="C321" s="344" t="s">
        <v>70</v>
      </c>
      <c r="D321" s="371">
        <v>0.51</v>
      </c>
      <c r="E321" s="371">
        <v>0.63</v>
      </c>
      <c r="F321" s="371">
        <v>0.2</v>
      </c>
      <c r="G321" s="371">
        <v>0.54</v>
      </c>
      <c r="H321" s="371">
        <v>0.37</v>
      </c>
      <c r="I321" s="132"/>
      <c r="J321" s="13"/>
      <c r="K321" s="13"/>
      <c r="L321" s="13"/>
      <c r="M321" s="13"/>
      <c r="N321" s="13"/>
      <c r="O321" s="13"/>
      <c r="P321" s="13"/>
      <c r="Q321" s="13"/>
      <c r="R321" s="13"/>
    </row>
    <row r="322" spans="1:18" ht="17.5" x14ac:dyDescent="0.45">
      <c r="A322" s="13"/>
      <c r="B322" s="366"/>
      <c r="C322" s="344" t="s">
        <v>71</v>
      </c>
      <c r="D322" s="371">
        <v>3.55</v>
      </c>
      <c r="E322" s="371">
        <v>2.64</v>
      </c>
      <c r="F322" s="371">
        <v>7.51</v>
      </c>
      <c r="G322" s="371">
        <v>2.92</v>
      </c>
      <c r="H322" s="371">
        <v>7.31</v>
      </c>
      <c r="I322" s="132"/>
      <c r="J322" s="13"/>
      <c r="M322" s="13"/>
      <c r="N322" s="13"/>
      <c r="O322" s="13"/>
      <c r="P322" s="13"/>
      <c r="Q322" s="13"/>
      <c r="R322" s="13"/>
    </row>
    <row r="323" spans="1:18" ht="17.5" x14ac:dyDescent="0.45">
      <c r="A323" s="13"/>
      <c r="B323" s="366"/>
      <c r="C323" s="344" t="s">
        <v>50</v>
      </c>
      <c r="D323" s="371">
        <v>0.5</v>
      </c>
      <c r="E323" s="371">
        <v>0.31</v>
      </c>
      <c r="F323" s="371">
        <v>0.94</v>
      </c>
      <c r="G323" s="371">
        <v>0.21</v>
      </c>
      <c r="H323" s="371">
        <v>2.0099999999999998</v>
      </c>
      <c r="I323" s="132"/>
      <c r="J323" s="13"/>
      <c r="M323" s="13"/>
      <c r="N323" s="13"/>
      <c r="O323" s="13"/>
      <c r="P323" s="13"/>
      <c r="Q323" s="13"/>
      <c r="R323" s="13"/>
    </row>
    <row r="324" spans="1:18" ht="18" thickBot="1" x14ac:dyDescent="0.5">
      <c r="A324" s="13"/>
      <c r="B324" s="299"/>
      <c r="C324" s="292" t="s">
        <v>72</v>
      </c>
      <c r="D324" s="338">
        <v>0.42</v>
      </c>
      <c r="E324" s="338">
        <v>0.44</v>
      </c>
      <c r="F324" s="338">
        <v>0.39</v>
      </c>
      <c r="G324" s="338">
        <v>0.55000000000000004</v>
      </c>
      <c r="H324" s="338">
        <v>0.36</v>
      </c>
      <c r="I324" s="132"/>
      <c r="J324" s="13"/>
      <c r="M324" s="13"/>
      <c r="N324" s="13"/>
      <c r="O324" s="13"/>
      <c r="P324" s="13"/>
      <c r="Q324" s="13"/>
      <c r="R324" s="13"/>
    </row>
    <row r="325" spans="1:18" ht="17.5" x14ac:dyDescent="0.45">
      <c r="A325" s="13"/>
      <c r="B325" s="401" t="s">
        <v>206</v>
      </c>
      <c r="C325" s="368" t="s">
        <v>32</v>
      </c>
      <c r="D325" s="368">
        <v>1.4</v>
      </c>
      <c r="E325" s="368">
        <v>1.18</v>
      </c>
      <c r="F325" s="368">
        <v>2.41</v>
      </c>
      <c r="G325" s="368">
        <v>1.5</v>
      </c>
      <c r="H325" s="368">
        <v>3.56</v>
      </c>
      <c r="I325" s="132"/>
      <c r="J325" s="13"/>
      <c r="M325" s="13"/>
      <c r="N325" s="13"/>
      <c r="O325" s="13"/>
      <c r="P325" s="13"/>
      <c r="Q325" s="13"/>
      <c r="R325" s="13"/>
    </row>
    <row r="326" spans="1:18" ht="17.5" x14ac:dyDescent="0.45">
      <c r="A326" s="13"/>
      <c r="B326" s="366"/>
      <c r="C326" s="344" t="s">
        <v>69</v>
      </c>
      <c r="D326" s="344">
        <v>0.93</v>
      </c>
      <c r="E326" s="344">
        <v>0.84</v>
      </c>
      <c r="F326" s="344">
        <v>1.66</v>
      </c>
      <c r="G326" s="344">
        <v>0.88</v>
      </c>
      <c r="H326" s="344">
        <v>3.33</v>
      </c>
      <c r="I326" s="132"/>
      <c r="J326" s="13"/>
      <c r="M326" s="13"/>
      <c r="N326" s="13"/>
      <c r="O326" s="13"/>
      <c r="P326" s="13"/>
      <c r="Q326" s="13"/>
      <c r="R326" s="13"/>
    </row>
    <row r="327" spans="1:18" ht="17.5" x14ac:dyDescent="0.45">
      <c r="A327" s="13"/>
      <c r="B327" s="366"/>
      <c r="C327" s="344" t="s">
        <v>70</v>
      </c>
      <c r="D327" s="344">
        <v>2.06</v>
      </c>
      <c r="E327" s="344">
        <v>1.58</v>
      </c>
      <c r="F327" s="344">
        <v>3.33</v>
      </c>
      <c r="G327" s="344">
        <v>2.23</v>
      </c>
      <c r="H327" s="344">
        <v>5.79</v>
      </c>
      <c r="I327" s="132"/>
      <c r="J327" s="13"/>
      <c r="M327" s="13"/>
      <c r="N327" s="13"/>
      <c r="O327" s="13"/>
      <c r="P327" s="13"/>
      <c r="Q327" s="13"/>
      <c r="R327" s="13"/>
    </row>
    <row r="328" spans="1:18" ht="17.5" x14ac:dyDescent="0.45">
      <c r="A328" s="13"/>
      <c r="B328" s="366"/>
      <c r="C328" s="344" t="s">
        <v>71</v>
      </c>
      <c r="D328" s="344">
        <v>2.23</v>
      </c>
      <c r="E328" s="344">
        <v>2.06</v>
      </c>
      <c r="F328" s="344">
        <v>3.04</v>
      </c>
      <c r="G328" s="344">
        <v>2.09</v>
      </c>
      <c r="H328" s="344">
        <v>4.3099999999999996</v>
      </c>
      <c r="I328" s="132"/>
      <c r="J328" s="13"/>
      <c r="M328" s="13"/>
      <c r="N328" s="13"/>
      <c r="O328" s="13"/>
      <c r="P328" s="13"/>
      <c r="Q328" s="13"/>
      <c r="R328" s="13"/>
    </row>
    <row r="329" spans="1:18" ht="17.5" x14ac:dyDescent="0.45">
      <c r="A329" s="13"/>
      <c r="B329" s="366"/>
      <c r="C329" s="344" t="s">
        <v>50</v>
      </c>
      <c r="D329" s="344">
        <v>0.62</v>
      </c>
      <c r="E329" s="344">
        <v>0.49</v>
      </c>
      <c r="F329" s="344">
        <v>0.95</v>
      </c>
      <c r="G329" s="344">
        <v>0.76</v>
      </c>
      <c r="H329" s="344">
        <v>1.88</v>
      </c>
      <c r="I329" s="132"/>
      <c r="J329" s="13"/>
      <c r="M329" s="13"/>
      <c r="N329" s="13"/>
      <c r="O329" s="13"/>
      <c r="P329" s="13"/>
      <c r="Q329" s="13"/>
      <c r="R329" s="13"/>
    </row>
    <row r="330" spans="1:18" ht="18" thickBot="1" x14ac:dyDescent="0.5">
      <c r="A330" s="13"/>
      <c r="B330" s="299"/>
      <c r="C330" s="292" t="s">
        <v>72</v>
      </c>
      <c r="D330" s="287">
        <v>0.94</v>
      </c>
      <c r="E330" s="287">
        <v>0.7</v>
      </c>
      <c r="F330" s="287">
        <v>1.25</v>
      </c>
      <c r="G330" s="287">
        <v>1.7</v>
      </c>
      <c r="H330" s="287">
        <v>0.92</v>
      </c>
      <c r="I330" s="132"/>
      <c r="J330" s="13"/>
      <c r="M330" s="13"/>
      <c r="N330" s="13"/>
      <c r="O330" s="13"/>
      <c r="P330" s="13"/>
      <c r="Q330" s="13"/>
      <c r="R330" s="13"/>
    </row>
    <row r="331" spans="1:18" ht="17.5" x14ac:dyDescent="0.45">
      <c r="A331" s="13"/>
      <c r="B331" s="365" t="s">
        <v>57</v>
      </c>
      <c r="C331" s="368" t="s">
        <v>32</v>
      </c>
      <c r="D331" s="368">
        <v>1.29</v>
      </c>
      <c r="E331" s="368">
        <v>0.98</v>
      </c>
      <c r="F331" s="368">
        <v>1.9</v>
      </c>
      <c r="G331" s="368">
        <v>0.9</v>
      </c>
      <c r="H331" s="368">
        <v>2.73</v>
      </c>
      <c r="I331" s="132"/>
      <c r="J331" s="13"/>
      <c r="M331" s="13"/>
      <c r="N331" s="13"/>
      <c r="O331" s="13"/>
      <c r="P331" s="13"/>
      <c r="Q331" s="13"/>
      <c r="R331" s="13"/>
    </row>
    <row r="332" spans="1:18" ht="17.5" x14ac:dyDescent="0.45">
      <c r="A332" s="13"/>
      <c r="B332" s="366"/>
      <c r="C332" s="344" t="s">
        <v>69</v>
      </c>
      <c r="D332" s="344">
        <v>0.85</v>
      </c>
      <c r="E332" s="344">
        <v>0.69</v>
      </c>
      <c r="F332" s="344">
        <v>2.1</v>
      </c>
      <c r="G332" s="344">
        <v>0.56218003693889995</v>
      </c>
      <c r="H332" s="344">
        <v>3.3600118209257697</v>
      </c>
      <c r="I332" s="132"/>
      <c r="J332" s="13"/>
      <c r="M332" s="13"/>
      <c r="N332" s="13"/>
      <c r="O332" s="13"/>
      <c r="P332" s="13"/>
      <c r="Q332" s="13"/>
      <c r="R332" s="13"/>
    </row>
    <row r="333" spans="1:18" ht="17.5" x14ac:dyDescent="0.45">
      <c r="A333" s="13"/>
      <c r="B333" s="366"/>
      <c r="C333" s="344" t="s">
        <v>70</v>
      </c>
      <c r="D333" s="344">
        <v>1.98</v>
      </c>
      <c r="E333" s="344">
        <v>1.22</v>
      </c>
      <c r="F333" s="344">
        <v>2.16</v>
      </c>
      <c r="G333" s="344">
        <v>1.226572670458969</v>
      </c>
      <c r="H333" s="344">
        <v>3.3782749326146053</v>
      </c>
      <c r="I333" s="132"/>
      <c r="J333" s="13"/>
      <c r="M333" s="13"/>
      <c r="N333" s="13"/>
      <c r="O333" s="13"/>
      <c r="P333" s="13"/>
      <c r="Q333" s="13"/>
      <c r="R333" s="13"/>
    </row>
    <row r="334" spans="1:18" ht="17.5" x14ac:dyDescent="0.45">
      <c r="A334" s="13"/>
      <c r="B334" s="366"/>
      <c r="C334" s="344" t="s">
        <v>71</v>
      </c>
      <c r="D334" s="344">
        <v>2.08</v>
      </c>
      <c r="E334" s="344">
        <v>2.09</v>
      </c>
      <c r="F334" s="344">
        <v>2.0499999999999998</v>
      </c>
      <c r="G334" s="344">
        <v>1.6977727952166943</v>
      </c>
      <c r="H334" s="344">
        <v>4.3032474629197228</v>
      </c>
      <c r="I334" s="132"/>
      <c r="J334" s="13"/>
      <c r="M334" s="13"/>
      <c r="N334" s="13"/>
      <c r="O334" s="13"/>
      <c r="P334" s="13"/>
      <c r="Q334" s="13"/>
      <c r="R334" s="13"/>
    </row>
    <row r="335" spans="1:18" ht="17.5" x14ac:dyDescent="0.45">
      <c r="A335" s="13"/>
      <c r="B335" s="366"/>
      <c r="C335" s="344" t="s">
        <v>50</v>
      </c>
      <c r="D335" s="344">
        <v>0.63</v>
      </c>
      <c r="E335" s="344">
        <v>0.5</v>
      </c>
      <c r="F335" s="344">
        <v>0.94</v>
      </c>
      <c r="G335" s="344">
        <v>1.51</v>
      </c>
      <c r="H335" s="344">
        <v>2.0499999999999998</v>
      </c>
      <c r="I335" s="132"/>
      <c r="J335" s="13"/>
      <c r="M335" s="13"/>
      <c r="N335" s="13"/>
      <c r="O335" s="13"/>
      <c r="P335" s="13"/>
      <c r="Q335" s="13"/>
      <c r="R335" s="13"/>
    </row>
    <row r="336" spans="1:18" ht="17.5" x14ac:dyDescent="0.45">
      <c r="A336" s="13"/>
      <c r="B336" s="297"/>
      <c r="C336" s="291" t="s">
        <v>73</v>
      </c>
      <c r="D336" s="372">
        <v>0.96</v>
      </c>
      <c r="E336" s="372">
        <v>0.7</v>
      </c>
      <c r="F336" s="372">
        <v>1.75</v>
      </c>
      <c r="G336" s="372">
        <v>0.76</v>
      </c>
      <c r="H336" s="372">
        <v>1.7</v>
      </c>
      <c r="I336" s="132"/>
      <c r="J336" s="13"/>
      <c r="M336" s="13"/>
      <c r="N336" s="13"/>
      <c r="O336" s="13"/>
      <c r="P336" s="13"/>
      <c r="Q336" s="13"/>
      <c r="R336" s="13"/>
    </row>
    <row r="337" spans="1:18" ht="18" thickBot="1" x14ac:dyDescent="0.5">
      <c r="A337" s="13"/>
      <c r="B337" s="299"/>
      <c r="C337" s="292" t="s">
        <v>72</v>
      </c>
      <c r="D337" s="287">
        <v>1.53</v>
      </c>
      <c r="E337" s="287">
        <v>1.49</v>
      </c>
      <c r="F337" s="287">
        <v>1.54</v>
      </c>
      <c r="G337" s="287">
        <v>0.47</v>
      </c>
      <c r="H337" s="287">
        <v>1.61</v>
      </c>
      <c r="I337" s="132"/>
      <c r="J337" s="13"/>
      <c r="M337" s="13"/>
      <c r="N337" s="13"/>
      <c r="O337" s="13"/>
      <c r="P337" s="13"/>
      <c r="Q337" s="13"/>
      <c r="R337" s="13"/>
    </row>
    <row r="338" spans="1:18" ht="18" thickBot="1" x14ac:dyDescent="0.5">
      <c r="A338" s="13"/>
      <c r="B338" s="402" t="s">
        <v>207</v>
      </c>
      <c r="C338" s="369" t="s">
        <v>32</v>
      </c>
      <c r="D338" s="373">
        <v>1.8</v>
      </c>
      <c r="E338" s="373" t="s">
        <v>208</v>
      </c>
      <c r="F338" s="373" t="s">
        <v>208</v>
      </c>
      <c r="G338" s="373" t="s">
        <v>208</v>
      </c>
      <c r="H338" s="373" t="s">
        <v>208</v>
      </c>
      <c r="I338" s="132"/>
      <c r="J338" s="13"/>
      <c r="M338" s="13"/>
      <c r="N338" s="13"/>
      <c r="O338" s="13"/>
      <c r="P338" s="13"/>
      <c r="Q338" s="13"/>
      <c r="R338" s="13"/>
    </row>
    <row r="339" spans="1:18" x14ac:dyDescent="0.35">
      <c r="A339" s="13"/>
      <c r="B339" s="13"/>
      <c r="C339" s="13"/>
      <c r="D339" s="13"/>
      <c r="E339" s="13"/>
      <c r="F339" s="13"/>
      <c r="G339" s="13"/>
      <c r="H339" s="13"/>
      <c r="I339" s="13"/>
      <c r="J339" s="13"/>
      <c r="K339" s="13"/>
      <c r="L339" s="13"/>
      <c r="M339" s="13"/>
      <c r="N339" s="13"/>
      <c r="O339" s="13"/>
      <c r="P339" s="13"/>
      <c r="Q339" s="13"/>
      <c r="R339" s="13"/>
    </row>
    <row r="340" spans="1:18" s="377" customFormat="1" ht="21" x14ac:dyDescent="0.55000000000000004">
      <c r="B340" s="14" t="s">
        <v>30</v>
      </c>
      <c r="C340" s="14"/>
      <c r="D340" s="378"/>
      <c r="E340" s="378"/>
      <c r="F340" s="378"/>
      <c r="G340" s="378"/>
      <c r="H340" s="378"/>
      <c r="I340" s="378"/>
      <c r="K340" s="378"/>
    </row>
    <row r="341" spans="1:18" s="388" customFormat="1" ht="15.65" customHeight="1" x14ac:dyDescent="0.35">
      <c r="A341" s="260"/>
      <c r="B341" s="393" t="s">
        <v>209</v>
      </c>
      <c r="C341" s="387"/>
      <c r="D341" s="387"/>
      <c r="E341" s="387"/>
      <c r="F341" s="387"/>
      <c r="G341" s="387"/>
      <c r="H341" s="387"/>
      <c r="I341" s="387"/>
      <c r="J341" s="387"/>
      <c r="K341" s="387"/>
      <c r="L341" s="387"/>
      <c r="M341" s="387"/>
      <c r="N341" s="387"/>
      <c r="O341" s="387"/>
      <c r="P341" s="387"/>
      <c r="Q341" s="387"/>
      <c r="R341" s="387"/>
    </row>
    <row r="342" spans="1:18" s="390" customFormat="1" ht="15.65" customHeight="1" x14ac:dyDescent="0.35">
      <c r="A342" s="260"/>
      <c r="B342" s="393" t="s">
        <v>210</v>
      </c>
      <c r="C342" s="387"/>
      <c r="D342" s="387"/>
      <c r="E342" s="387"/>
      <c r="F342" s="387"/>
      <c r="G342" s="387"/>
      <c r="H342" s="387"/>
      <c r="I342" s="387"/>
      <c r="J342" s="387"/>
      <c r="K342" s="387"/>
      <c r="L342" s="387"/>
      <c r="M342" s="389"/>
      <c r="N342" s="389"/>
      <c r="O342" s="389"/>
      <c r="P342" s="389"/>
      <c r="Q342" s="389"/>
      <c r="R342" s="389"/>
    </row>
    <row r="343" spans="1:18" s="390" customFormat="1" ht="15.65" customHeight="1" x14ac:dyDescent="0.35">
      <c r="A343" s="260"/>
      <c r="B343" s="393" t="s">
        <v>211</v>
      </c>
      <c r="C343" s="387"/>
      <c r="D343" s="387"/>
      <c r="E343" s="387"/>
      <c r="F343" s="387"/>
      <c r="G343" s="387"/>
      <c r="H343" s="387"/>
      <c r="I343" s="387"/>
      <c r="J343" s="387"/>
      <c r="K343" s="387"/>
      <c r="L343" s="387"/>
    </row>
    <row r="344" spans="1:18" s="390" customFormat="1" ht="15.65" customHeight="1" x14ac:dyDescent="0.35">
      <c r="A344" s="260"/>
      <c r="B344" s="393" t="s">
        <v>212</v>
      </c>
      <c r="C344" s="387"/>
      <c r="D344" s="387"/>
      <c r="E344" s="387"/>
      <c r="F344" s="387"/>
      <c r="G344" s="387"/>
      <c r="H344" s="387"/>
      <c r="I344" s="387"/>
      <c r="J344" s="387"/>
      <c r="K344" s="387"/>
      <c r="L344" s="387"/>
      <c r="M344" s="389"/>
      <c r="N344" s="389"/>
      <c r="O344" s="389"/>
      <c r="P344" s="389"/>
      <c r="Q344" s="389"/>
      <c r="R344" s="389"/>
    </row>
    <row r="345" spans="1:18" s="260" customFormat="1" x14ac:dyDescent="0.35">
      <c r="B345" s="391" t="s">
        <v>213</v>
      </c>
    </row>
    <row r="346" spans="1:18" s="388" customFormat="1" x14ac:dyDescent="0.35">
      <c r="A346" s="260"/>
      <c r="B346" s="391" t="s">
        <v>214</v>
      </c>
    </row>
    <row r="347" spans="1:18" s="388" customFormat="1" x14ac:dyDescent="0.35">
      <c r="A347" s="260"/>
      <c r="B347" s="391" t="s">
        <v>215</v>
      </c>
    </row>
    <row r="348" spans="1:18" s="388" customFormat="1" x14ac:dyDescent="0.35">
      <c r="A348" s="260"/>
      <c r="B348" s="391" t="s">
        <v>216</v>
      </c>
    </row>
    <row r="349" spans="1:18" s="388" customFormat="1" x14ac:dyDescent="0.35">
      <c r="A349" s="260"/>
      <c r="B349" s="391" t="s">
        <v>217</v>
      </c>
    </row>
    <row r="350" spans="1:18" s="388" customFormat="1" x14ac:dyDescent="0.35">
      <c r="A350" s="260"/>
      <c r="B350" s="391" t="s">
        <v>218</v>
      </c>
    </row>
    <row r="351" spans="1:18" s="388" customFormat="1" x14ac:dyDescent="0.35">
      <c r="A351" s="260"/>
      <c r="B351" s="391" t="s">
        <v>219</v>
      </c>
      <c r="C351" s="392"/>
    </row>
    <row r="352" spans="1:18" s="260" customFormat="1" x14ac:dyDescent="0.35">
      <c r="B352" s="391" t="s">
        <v>220</v>
      </c>
    </row>
    <row r="353" spans="1:18" s="388" customFormat="1" x14ac:dyDescent="0.35">
      <c r="A353" s="260"/>
      <c r="B353" s="391" t="s">
        <v>221</v>
      </c>
    </row>
    <row r="354" spans="1:18" s="388" customFormat="1" x14ac:dyDescent="0.35">
      <c r="A354" s="260"/>
      <c r="B354" s="391" t="s">
        <v>222</v>
      </c>
      <c r="C354" s="392"/>
      <c r="I354" s="390"/>
    </row>
    <row r="355" spans="1:18" s="388" customFormat="1" ht="15.65" customHeight="1" x14ac:dyDescent="0.35">
      <c r="A355" s="260"/>
      <c r="B355" s="393" t="s">
        <v>223</v>
      </c>
      <c r="C355" s="387"/>
      <c r="D355" s="387"/>
      <c r="E355" s="387"/>
      <c r="F355" s="387"/>
      <c r="G355" s="387"/>
      <c r="H355" s="387"/>
      <c r="I355" s="387"/>
      <c r="J355" s="387"/>
      <c r="K355" s="387"/>
      <c r="L355" s="387"/>
    </row>
    <row r="356" spans="1:18" s="388" customFormat="1" x14ac:dyDescent="0.35">
      <c r="A356" s="260"/>
      <c r="B356" s="391" t="s">
        <v>224</v>
      </c>
    </row>
    <row r="357" spans="1:18" s="388" customFormat="1" x14ac:dyDescent="0.35">
      <c r="A357" s="260"/>
      <c r="B357" s="391" t="s">
        <v>225</v>
      </c>
    </row>
    <row r="368" spans="1:18" x14ac:dyDescent="0.35">
      <c r="A368" s="13"/>
      <c r="D368" s="13"/>
      <c r="E368" s="13"/>
      <c r="F368" s="13"/>
      <c r="G368" s="13"/>
      <c r="H368" s="13"/>
      <c r="I368" s="13"/>
      <c r="J368" s="13"/>
      <c r="K368" s="13"/>
      <c r="L368" s="13"/>
      <c r="M368" s="13"/>
      <c r="N368" s="13"/>
      <c r="O368" s="13"/>
      <c r="P368" s="13"/>
      <c r="Q368" s="13"/>
      <c r="R368" s="13"/>
    </row>
    <row r="369" spans="1:18" x14ac:dyDescent="0.35">
      <c r="A369" s="13"/>
      <c r="D369" s="13"/>
      <c r="E369" s="13"/>
      <c r="F369" s="13"/>
      <c r="G369" s="13"/>
      <c r="H369" s="13"/>
      <c r="I369" s="13"/>
      <c r="J369" s="13"/>
      <c r="K369" s="13"/>
      <c r="L369" s="13"/>
      <c r="M369" s="13"/>
      <c r="N369" s="13"/>
      <c r="O369" s="13"/>
      <c r="P369" s="13"/>
      <c r="Q369" s="13"/>
      <c r="R369" s="13"/>
    </row>
    <row r="370" spans="1:18" x14ac:dyDescent="0.35">
      <c r="A370" s="13"/>
      <c r="D370" s="13"/>
      <c r="E370" s="13"/>
      <c r="F370" s="13"/>
      <c r="G370" s="13"/>
      <c r="H370" s="13"/>
      <c r="I370" s="13"/>
      <c r="J370" s="13"/>
      <c r="K370" s="13"/>
      <c r="L370" s="13"/>
      <c r="M370" s="13"/>
      <c r="N370" s="13"/>
      <c r="O370" s="13"/>
      <c r="P370" s="13"/>
      <c r="Q370" s="13"/>
      <c r="R370" s="13"/>
    </row>
    <row r="371" spans="1:18" x14ac:dyDescent="0.35">
      <c r="A371" s="13"/>
      <c r="D371" s="13"/>
      <c r="E371" s="13"/>
      <c r="F371" s="13"/>
      <c r="G371" s="13"/>
      <c r="H371" s="13"/>
      <c r="I371" s="13"/>
      <c r="J371" s="13"/>
      <c r="K371" s="13"/>
      <c r="L371" s="13"/>
      <c r="M371" s="13"/>
      <c r="N371" s="13"/>
      <c r="O371" s="13"/>
      <c r="P371" s="13"/>
      <c r="Q371" s="13"/>
      <c r="R371" s="13"/>
    </row>
    <row r="372" spans="1:18" x14ac:dyDescent="0.35">
      <c r="A372" s="13"/>
      <c r="D372" s="13"/>
      <c r="E372" s="13"/>
      <c r="F372" s="13"/>
      <c r="G372" s="13"/>
      <c r="H372" s="13"/>
      <c r="I372" s="13"/>
      <c r="J372" s="13"/>
      <c r="K372" s="13"/>
      <c r="L372" s="13"/>
      <c r="M372" s="13"/>
      <c r="N372" s="13"/>
      <c r="O372" s="13"/>
      <c r="P372" s="13"/>
      <c r="Q372" s="13"/>
      <c r="R372" s="13"/>
    </row>
    <row r="373" spans="1:18" x14ac:dyDescent="0.35">
      <c r="A373" s="13"/>
      <c r="D373" s="13"/>
      <c r="E373" s="13"/>
      <c r="F373" s="13"/>
      <c r="G373" s="13"/>
      <c r="H373" s="13"/>
      <c r="I373" s="13"/>
      <c r="J373" s="13"/>
      <c r="K373" s="13"/>
      <c r="L373" s="13"/>
      <c r="M373" s="13"/>
      <c r="N373" s="13"/>
      <c r="O373" s="13"/>
      <c r="P373" s="13"/>
      <c r="Q373" s="13"/>
      <c r="R373" s="13"/>
    </row>
    <row r="374" spans="1:18" x14ac:dyDescent="0.35">
      <c r="A374" s="13"/>
      <c r="D374" s="13"/>
      <c r="E374" s="13"/>
      <c r="F374" s="13"/>
      <c r="G374" s="13"/>
      <c r="H374" s="13"/>
      <c r="I374" s="13"/>
      <c r="J374" s="13"/>
      <c r="K374" s="13"/>
      <c r="L374" s="13"/>
      <c r="M374" s="13"/>
      <c r="N374" s="13"/>
      <c r="O374" s="13"/>
      <c r="P374" s="13"/>
      <c r="Q374" s="13"/>
      <c r="R374" s="13"/>
    </row>
  </sheetData>
  <mergeCells count="39">
    <mergeCell ref="E144:F144"/>
    <mergeCell ref="B32:C32"/>
    <mergeCell ref="B116:B117"/>
    <mergeCell ref="B31:C31"/>
    <mergeCell ref="B27:C27"/>
    <mergeCell ref="B28:C28"/>
    <mergeCell ref="B29:C29"/>
    <mergeCell ref="B30:C30"/>
    <mergeCell ref="C125:D125"/>
    <mergeCell ref="C136:D136"/>
    <mergeCell ref="B136:B137"/>
    <mergeCell ref="C144:D144"/>
    <mergeCell ref="B144:B145"/>
    <mergeCell ref="B274:C274"/>
    <mergeCell ref="B266:C266"/>
    <mergeCell ref="B267:C267"/>
    <mergeCell ref="B268:C268"/>
    <mergeCell ref="B269:C269"/>
    <mergeCell ref="B273:C273"/>
    <mergeCell ref="B5:N5"/>
    <mergeCell ref="E116:F116"/>
    <mergeCell ref="E125:F125"/>
    <mergeCell ref="O136:P136"/>
    <mergeCell ref="E136:F136"/>
    <mergeCell ref="M136:N136"/>
    <mergeCell ref="K136:L136"/>
    <mergeCell ref="I116:J116"/>
    <mergeCell ref="C116:D116"/>
    <mergeCell ref="B125:B126"/>
    <mergeCell ref="I125:J125"/>
    <mergeCell ref="I136:J136"/>
    <mergeCell ref="G116:H116"/>
    <mergeCell ref="G125:H125"/>
    <mergeCell ref="G136:H136"/>
    <mergeCell ref="G144:H144"/>
    <mergeCell ref="O144:P144"/>
    <mergeCell ref="I144:J144"/>
    <mergeCell ref="K144:L144"/>
    <mergeCell ref="M144:N144"/>
  </mergeCells>
  <hyperlinks>
    <hyperlink ref="B7" location="Sharing_and_reusing_model_performance" display="Sharing and reusing model performance " xr:uid="{00000000-0004-0000-0100-000000000000}"/>
    <hyperlink ref="B8" location="Environmental_benefits_delivered_in_customers__supply_chains__15" display="Environmental benefits delivered in customers' supply chains" xr:uid="{00000000-0004-0000-0100-000001000000}"/>
    <hyperlink ref="B9" location="Customer_feedback" display="Customer feedback" xr:uid="{00000000-0004-0000-0100-000002000000}"/>
    <hyperlink ref="B10" location="People_performance____Employee_Stats__12" display="People performance - Employee Stats " xr:uid="{00000000-0004-0000-0100-000003000000}"/>
    <hyperlink ref="B11" location="Number_of_employees" display="Number of employees" xr:uid="{00000000-0004-0000-0100-000004000000}"/>
    <hyperlink ref="B12" location="Permanent_employees_by_gender__total_____male_female" display="Permanent employees by gender (total) (% male/female)" xr:uid="{00000000-0004-0000-0100-000005000000}"/>
    <hyperlink ref="B13" location="Permanent_employees_by_gender__management_positions__as_at_30_June____male_female" display="Permanent employees by gender (management positions) as at 30 June (% male/female)" xr:uid="{00000000-0004-0000-0100-000006000000}"/>
    <hyperlink ref="B14" location="Office_v_Plant_ratio__permanent_employees" display="Office v Plant ratio (permanent employees) (%)" xr:uid="{00000000-0004-0000-0100-000007000000}"/>
    <hyperlink ref="B15" location="Employees_by_employment_contract" display="Employees by employment contract (%)" xr:uid="{00000000-0004-0000-0100-000008000000}"/>
    <hyperlink ref="B16" location="Employees_by_employment_type" display="Employees by employment type (%)" xr:uid="{00000000-0004-0000-0100-000009000000}"/>
    <hyperlink ref="B17" location="Age_distribution_of_permanent_employees" display="Age distribution of permanent employees (%)" xr:uid="{00000000-0004-0000-0100-00000A000000}"/>
    <hyperlink ref="B18" location="Male__female_salary_ratios" display="Male: female salary ratios " xr:uid="{00000000-0004-0000-0100-00000B000000}"/>
    <hyperlink ref="B19" location="Group_employees_taking_parental_leave_during_the_Year" display="Group employees taking parental leave during the Year (%)" xr:uid="{00000000-0004-0000-0100-00000C000000}"/>
    <hyperlink ref="H7" location="Group_employees_returning_from_parental_leave_during_the_Year_as_a_percentage_of_those_who_took_parental_leave" display="Group employees returning from parental leave during the Year as a percentage of those who took parental leave (%)" xr:uid="{00000000-0004-0000-0100-00000D000000}"/>
    <hyperlink ref="H8" location="Group_employees_returning_to_work_after_parental_leave_during_the_Year" display="Group employees returning to work after parental leave during the Year (%)" xr:uid="{00000000-0004-0000-0100-00000E000000}"/>
    <hyperlink ref="H9" location="Voluntary_turnover_of_employees" display="Voluntary turnover of employees (%)" xr:uid="{00000000-0004-0000-0100-00000F000000}"/>
    <hyperlink ref="H10" location="Total_number_of_employee_hires" display="Total number of employee hires" xr:uid="{00000000-0004-0000-0100-000010000000}"/>
    <hyperlink ref="H11" location="Employee_hires_by_gender" display="Employee hires by gender (%)" xr:uid="{00000000-0004-0000-0100-000011000000}"/>
    <hyperlink ref="H13" location="Engagement__5" display="Engagement" xr:uid="{00000000-0004-0000-0100-000012000000}"/>
    <hyperlink ref="H14" location="Brambles_Injury_Frequency_Rate__BIFR" display="Brambles Injury Frequency Rate (BIFR)" xr:uid="{00000000-0004-0000-0100-000013000000}"/>
    <hyperlink ref="H15" location="BIFR_by_gender" display="BIFR by gender" xr:uid="{00000000-0004-0000-0100-000014000000}"/>
    <hyperlink ref="H16" location="BIFR_by_segment" display="BIFR by segment" xr:uid="{00000000-0004-0000-0100-000015000000}"/>
    <hyperlink ref="H17" location="Education__Training_and_Development" display="Education, Training and Development" xr:uid="{00000000-0004-0000-0100-000016000000}"/>
    <hyperlink ref="H18" location="Education__training_and_development_days" display="Education, training and development days" xr:uid="{00000000-0004-0000-0100-000017000000}"/>
    <hyperlink ref="H19" location="Footnotes" display="Footnotes" xr:uid="{00000000-0004-0000-0100-000018000000}"/>
    <hyperlink ref="H12" location="Employee_hires_by_age_group" display="Employee hires by age group (%)" xr:uid="{00000000-0004-0000-0100-000019000000}"/>
    <hyperlink ref="B24" location="FN1BB" display="Environmental benefits delivered in customers' supply chains [1] " xr:uid="{00000000-0004-0000-0100-00001A000000}"/>
    <hyperlink ref="I26" location="FN2BB" display="FY16 [2]" xr:uid="{00000000-0004-0000-0100-00001B000000}"/>
    <hyperlink ref="I34" location="FN3BB" display="CO2-e offset (tonnes) - carbon neutral products [3]" xr:uid="{00000000-0004-0000-0100-00001C000000}"/>
    <hyperlink ref="B60" location="FN4BB" display="FY16 [4]" xr:uid="{00000000-0004-0000-0100-00001D000000}"/>
    <hyperlink ref="E75" location="FN5BB" display="FY18 [5]" xr:uid="{00000000-0004-0000-0100-00001E000000}"/>
    <hyperlink ref="B79" location="FN6BB" display="People performance  - Employee Stats [6]" xr:uid="{00000000-0004-0000-0100-00001F000000}"/>
    <hyperlink ref="H90" location="FN7BB" display="Corporate [7]" xr:uid="{00000000-0004-0000-0100-000020000000}"/>
    <hyperlink ref="I207" location="FN8BB" display="FY15 [8]" xr:uid="{00000000-0004-0000-0100-000021000000}"/>
    <hyperlink ref="B234" location="FN9BB" display="Corporate [9]" xr:uid="{00000000-0004-0000-0100-000022000000}"/>
    <hyperlink ref="I239" location="FN10BB" display="FY16 [10]" xr:uid="{00000000-0004-0000-0100-000023000000}"/>
    <hyperlink ref="B264" location="FN11BB" display="Engagement [11]" xr:uid="{00000000-0004-0000-0100-000024000000}"/>
    <hyperlink ref="G266" location="FN12BB" display="FY18 [12]" xr:uid="{00000000-0004-0000-0100-000025000000}"/>
    <hyperlink ref="I278" location="FN13BB" display="FY15 [13]" xr:uid="{00000000-0004-0000-0100-000026000000}"/>
    <hyperlink ref="B288" location="FN14BB" display="Pallets [14]" xr:uid="{00000000-0004-0000-0100-000027000000}"/>
    <hyperlink ref="H288" location="FN14BB" display="Pallets [14]" xr:uid="{00000000-0004-0000-0100-000028000000}"/>
    <hyperlink ref="H290" location="FN15BB" display="Containers[15]" xr:uid="{00000000-0004-0000-0100-000029000000}"/>
    <hyperlink ref="B325" location="FN16BB" display="FY17 [16]" xr:uid="{00000000-0004-0000-0100-00002A000000}"/>
    <hyperlink ref="B338" location="FN17BB" display="FY15 [17]" xr:uid="{00000000-0004-0000-0100-00002B000000}"/>
  </hyperlink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50"/>
  </sheetPr>
  <dimension ref="A1:O452"/>
  <sheetViews>
    <sheetView showGridLines="0" topLeftCell="A422" workbookViewId="0">
      <selection activeCell="C445" sqref="C445"/>
    </sheetView>
  </sheetViews>
  <sheetFormatPr defaultColWidth="11" defaultRowHeight="15.5" x14ac:dyDescent="0.35"/>
  <cols>
    <col min="1" max="1" width="3.08203125" customWidth="1"/>
    <col min="2" max="2" width="18.5" customWidth="1"/>
    <col min="3" max="3" width="18.08203125" bestFit="1" customWidth="1"/>
    <col min="4" max="4" width="12" customWidth="1"/>
    <col min="5" max="5" width="13" customWidth="1"/>
    <col min="6" max="6" width="15.5" customWidth="1"/>
    <col min="7" max="7" width="13" customWidth="1"/>
  </cols>
  <sheetData>
    <row r="1" spans="1:14" s="25" customFormat="1" x14ac:dyDescent="0.35">
      <c r="A1" s="24"/>
    </row>
    <row r="2" spans="1:14" s="25" customFormat="1" ht="29" x14ac:dyDescent="0.45">
      <c r="B2" s="185" t="s">
        <v>226</v>
      </c>
      <c r="C2" s="26"/>
      <c r="D2" s="27"/>
      <c r="E2" s="27"/>
      <c r="F2" s="27"/>
      <c r="G2" s="27"/>
      <c r="H2" s="27"/>
      <c r="K2" s="24"/>
    </row>
    <row r="3" spans="1:14" x14ac:dyDescent="0.35">
      <c r="A3" s="13"/>
      <c r="B3" t="s">
        <v>1</v>
      </c>
      <c r="C3" s="644">
        <v>43734</v>
      </c>
      <c r="D3" s="13"/>
      <c r="E3" s="13"/>
      <c r="F3" s="13"/>
      <c r="G3" s="13"/>
      <c r="H3" s="13"/>
      <c r="I3" s="13"/>
      <c r="J3" s="13"/>
      <c r="K3" s="13"/>
      <c r="L3" s="13"/>
    </row>
    <row r="4" spans="1:14" x14ac:dyDescent="0.35">
      <c r="A4" s="13"/>
      <c r="B4" s="184" t="s">
        <v>227</v>
      </c>
      <c r="C4" s="12"/>
      <c r="D4" s="13"/>
      <c r="E4" s="13"/>
      <c r="F4" s="13"/>
      <c r="G4" s="13"/>
      <c r="H4" s="13"/>
      <c r="I4" s="13"/>
      <c r="J4" s="13"/>
      <c r="K4" s="13"/>
      <c r="L4" s="13"/>
    </row>
    <row r="5" spans="1:14" ht="34.9" customHeight="1" x14ac:dyDescent="0.35">
      <c r="A5" s="13"/>
      <c r="B5" s="649" t="s">
        <v>3</v>
      </c>
      <c r="C5" s="649"/>
      <c r="D5" s="649"/>
      <c r="E5" s="649"/>
      <c r="F5" s="649"/>
      <c r="G5" s="649"/>
      <c r="H5" s="649"/>
      <c r="I5" s="649"/>
      <c r="J5" s="649"/>
      <c r="K5" s="649"/>
      <c r="L5" s="649"/>
      <c r="M5" s="649"/>
      <c r="N5" s="649"/>
    </row>
    <row r="6" spans="1:14" s="25" customFormat="1" ht="17.5" x14ac:dyDescent="0.35">
      <c r="B6" s="188" t="s">
        <v>4</v>
      </c>
    </row>
    <row r="7" spans="1:14" x14ac:dyDescent="0.35">
      <c r="A7" s="13"/>
      <c r="B7" s="189" t="s">
        <v>228</v>
      </c>
      <c r="G7" s="189" t="s">
        <v>229</v>
      </c>
    </row>
    <row r="8" spans="1:14" x14ac:dyDescent="0.35">
      <c r="A8" s="13"/>
      <c r="B8" s="183" t="s">
        <v>230</v>
      </c>
      <c r="C8" s="12"/>
      <c r="D8" s="12"/>
      <c r="E8" s="12"/>
      <c r="F8" s="12"/>
      <c r="G8" s="183" t="s">
        <v>231</v>
      </c>
      <c r="H8" s="12"/>
      <c r="I8" s="12"/>
      <c r="J8" s="12"/>
      <c r="K8" s="12"/>
      <c r="L8" s="12"/>
      <c r="M8" s="12"/>
    </row>
    <row r="9" spans="1:14" x14ac:dyDescent="0.35">
      <c r="B9" s="183" t="s">
        <v>232</v>
      </c>
      <c r="C9" s="1"/>
      <c r="D9" s="1"/>
      <c r="E9" s="1"/>
      <c r="F9" s="1"/>
      <c r="G9" s="183" t="s">
        <v>233</v>
      </c>
      <c r="H9" s="1"/>
      <c r="I9" s="1"/>
      <c r="J9" s="1"/>
      <c r="K9" s="1"/>
      <c r="L9" s="1"/>
      <c r="M9" s="1"/>
    </row>
    <row r="10" spans="1:14" x14ac:dyDescent="0.35">
      <c r="B10" s="183" t="s">
        <v>234</v>
      </c>
      <c r="C10" s="1"/>
      <c r="D10" s="1"/>
      <c r="E10" s="1"/>
      <c r="F10" s="1"/>
      <c r="G10" s="183" t="s">
        <v>235</v>
      </c>
      <c r="H10" s="1"/>
      <c r="I10" s="1"/>
      <c r="J10" s="1"/>
      <c r="K10" s="1"/>
      <c r="L10" s="1"/>
      <c r="M10" s="1"/>
    </row>
    <row r="11" spans="1:14" x14ac:dyDescent="0.35">
      <c r="B11" s="183" t="s">
        <v>236</v>
      </c>
      <c r="C11" s="1"/>
      <c r="D11" s="1"/>
      <c r="E11" s="1"/>
      <c r="F11" s="1"/>
      <c r="G11" s="183" t="s">
        <v>237</v>
      </c>
      <c r="H11" s="1"/>
      <c r="I11" s="1"/>
      <c r="J11" s="1"/>
      <c r="K11" s="1"/>
      <c r="L11" s="1"/>
      <c r="M11" s="1"/>
    </row>
    <row r="12" spans="1:14" x14ac:dyDescent="0.35">
      <c r="B12" s="189" t="s">
        <v>238</v>
      </c>
      <c r="C12" s="1"/>
      <c r="D12" s="1"/>
      <c r="E12" s="1"/>
      <c r="F12" s="1"/>
      <c r="G12" s="183" t="s">
        <v>239</v>
      </c>
      <c r="H12" s="1"/>
      <c r="I12" s="1"/>
      <c r="J12" s="1"/>
      <c r="K12" s="1"/>
      <c r="L12" s="1"/>
      <c r="M12" s="1"/>
    </row>
    <row r="13" spans="1:14" x14ac:dyDescent="0.35">
      <c r="B13" s="183" t="s">
        <v>240</v>
      </c>
      <c r="C13" s="1"/>
      <c r="D13" s="1"/>
      <c r="E13" s="1"/>
      <c r="F13" s="1"/>
      <c r="G13" s="183" t="s">
        <v>241</v>
      </c>
      <c r="H13" s="1"/>
      <c r="I13" s="1"/>
      <c r="J13" s="1"/>
      <c r="K13" s="1"/>
      <c r="L13" s="1"/>
      <c r="M13" s="1"/>
    </row>
    <row r="14" spans="1:14" x14ac:dyDescent="0.35">
      <c r="B14" s="189" t="s">
        <v>242</v>
      </c>
      <c r="C14" s="1"/>
      <c r="D14" s="1"/>
      <c r="E14" s="1"/>
      <c r="F14" s="1"/>
      <c r="G14" s="189" t="s">
        <v>243</v>
      </c>
      <c r="H14" s="1"/>
      <c r="J14" s="1"/>
      <c r="K14" s="1"/>
      <c r="L14" s="1"/>
      <c r="M14" s="1"/>
    </row>
    <row r="15" spans="1:14" x14ac:dyDescent="0.35">
      <c r="B15" s="183" t="s">
        <v>244</v>
      </c>
      <c r="C15" s="1"/>
      <c r="D15" s="1"/>
      <c r="E15" s="1"/>
      <c r="F15" s="1"/>
      <c r="G15" s="183" t="s">
        <v>245</v>
      </c>
      <c r="H15" s="1"/>
      <c r="J15" s="1"/>
      <c r="K15" s="1"/>
      <c r="L15" s="1"/>
      <c r="M15" s="1"/>
    </row>
    <row r="16" spans="1:14" x14ac:dyDescent="0.35">
      <c r="B16" s="189" t="s">
        <v>246</v>
      </c>
      <c r="G16" s="183" t="s">
        <v>247</v>
      </c>
    </row>
    <row r="17" spans="2:12" x14ac:dyDescent="0.35">
      <c r="B17" s="183" t="s">
        <v>248</v>
      </c>
      <c r="G17" s="183" t="s">
        <v>249</v>
      </c>
    </row>
    <row r="18" spans="2:12" x14ac:dyDescent="0.35">
      <c r="B18" s="183" t="s">
        <v>250</v>
      </c>
      <c r="G18" s="183" t="s">
        <v>251</v>
      </c>
    </row>
    <row r="19" spans="2:12" x14ac:dyDescent="0.35">
      <c r="B19" s="183" t="s">
        <v>252</v>
      </c>
      <c r="G19" s="189" t="s">
        <v>253</v>
      </c>
    </row>
    <row r="20" spans="2:12" x14ac:dyDescent="0.35">
      <c r="B20" s="183" t="s">
        <v>254</v>
      </c>
      <c r="G20" s="183" t="s">
        <v>255</v>
      </c>
    </row>
    <row r="21" spans="2:12" x14ac:dyDescent="0.35">
      <c r="B21" s="183"/>
      <c r="G21" s="183" t="s">
        <v>256</v>
      </c>
    </row>
    <row r="22" spans="2:12" x14ac:dyDescent="0.35">
      <c r="G22" s="189" t="s">
        <v>30</v>
      </c>
    </row>
    <row r="23" spans="2:12" s="25" customFormat="1" ht="17.5" x14ac:dyDescent="0.45">
      <c r="B23" s="188" t="s">
        <v>257</v>
      </c>
      <c r="C23" s="28"/>
      <c r="D23" s="27"/>
      <c r="E23" s="27"/>
      <c r="F23" s="27"/>
      <c r="G23" s="27"/>
      <c r="H23" s="27"/>
      <c r="I23" s="27"/>
      <c r="J23" s="24"/>
      <c r="K23" s="24"/>
    </row>
    <row r="24" spans="2:12" ht="6" customHeight="1" x14ac:dyDescent="0.45">
      <c r="B24" s="30"/>
      <c r="C24" s="30"/>
      <c r="D24" s="31"/>
      <c r="E24" s="31"/>
      <c r="F24" s="31"/>
      <c r="G24" s="31"/>
      <c r="H24" s="31"/>
      <c r="I24" s="31"/>
      <c r="J24" s="1"/>
      <c r="K24" s="1"/>
    </row>
    <row r="25" spans="2:12" s="25" customFormat="1" ht="17.5" x14ac:dyDescent="0.45">
      <c r="B25" s="32" t="s">
        <v>258</v>
      </c>
      <c r="C25" s="32"/>
      <c r="D25" s="27"/>
      <c r="E25" s="27"/>
      <c r="F25" s="27"/>
      <c r="G25" s="27"/>
      <c r="H25" s="27"/>
      <c r="I25" s="27"/>
      <c r="J25" s="27"/>
      <c r="K25" s="27"/>
      <c r="L25" s="40"/>
    </row>
    <row r="26" spans="2:12" ht="16" thickBot="1" x14ac:dyDescent="0.4"/>
    <row r="27" spans="2:12" ht="32" x14ac:dyDescent="0.35">
      <c r="B27" s="631" t="s">
        <v>259</v>
      </c>
      <c r="C27" s="631" t="s">
        <v>33</v>
      </c>
      <c r="D27" s="631" t="s">
        <v>34</v>
      </c>
      <c r="E27" s="631" t="s">
        <v>35</v>
      </c>
      <c r="F27" s="631" t="s">
        <v>36</v>
      </c>
      <c r="G27" s="631" t="s">
        <v>37</v>
      </c>
      <c r="H27" s="631" t="s">
        <v>57</v>
      </c>
      <c r="I27" s="631" t="s">
        <v>39</v>
      </c>
    </row>
    <row r="28" spans="2:12" ht="16" x14ac:dyDescent="0.35">
      <c r="B28" s="33" t="s">
        <v>69</v>
      </c>
      <c r="C28" s="481">
        <v>1552330</v>
      </c>
      <c r="D28" s="481">
        <v>1552330</v>
      </c>
      <c r="E28" s="34">
        <v>1513415</v>
      </c>
      <c r="F28" s="34">
        <v>1513415</v>
      </c>
      <c r="G28" s="34">
        <v>1415860</v>
      </c>
      <c r="H28" s="34">
        <v>1440576</v>
      </c>
      <c r="I28" s="34">
        <v>1199175</v>
      </c>
    </row>
    <row r="29" spans="2:12" ht="16" x14ac:dyDescent="0.35">
      <c r="B29" s="33" t="s">
        <v>70</v>
      </c>
      <c r="C29" s="481">
        <v>1473414</v>
      </c>
      <c r="D29" s="481">
        <v>1473414</v>
      </c>
      <c r="E29" s="34">
        <v>1401240</v>
      </c>
      <c r="F29" s="34">
        <v>1401240</v>
      </c>
      <c r="G29" s="34">
        <v>1114910.2844192286</v>
      </c>
      <c r="H29" s="34">
        <v>1124245</v>
      </c>
      <c r="I29" s="34">
        <v>927654</v>
      </c>
    </row>
    <row r="30" spans="2:12" ht="16" x14ac:dyDescent="0.35">
      <c r="B30" s="33" t="s">
        <v>71</v>
      </c>
      <c r="C30" s="481">
        <v>141587</v>
      </c>
      <c r="D30" s="481">
        <v>141587</v>
      </c>
      <c r="E30" s="34">
        <v>143227</v>
      </c>
      <c r="F30" s="34">
        <v>143227</v>
      </c>
      <c r="G30" s="34">
        <v>161399</v>
      </c>
      <c r="H30" s="34">
        <v>181302</v>
      </c>
      <c r="I30" s="34">
        <v>202944</v>
      </c>
    </row>
    <row r="31" spans="2:12" ht="16.5" thickBot="1" x14ac:dyDescent="0.4">
      <c r="B31" s="35" t="s">
        <v>260</v>
      </c>
      <c r="C31" s="482">
        <f>SUM(C28:C30)</f>
        <v>3167331</v>
      </c>
      <c r="D31" s="482">
        <f>SUM(D28:D30)</f>
        <v>3167331</v>
      </c>
      <c r="E31" s="37">
        <f>SUM(E28:E30)</f>
        <v>3057882</v>
      </c>
      <c r="F31" s="37">
        <f>SUM(F28:F30)</f>
        <v>3057882</v>
      </c>
      <c r="G31" s="37">
        <f>SUM(G28:G30)</f>
        <v>2692169.2844192283</v>
      </c>
      <c r="H31" s="37">
        <v>2746123</v>
      </c>
      <c r="I31" s="37">
        <v>2329773</v>
      </c>
    </row>
    <row r="32" spans="2:12" ht="17.5" x14ac:dyDescent="0.45">
      <c r="B32" s="30"/>
      <c r="C32" s="38"/>
      <c r="D32" s="31"/>
      <c r="E32" s="31"/>
      <c r="F32" s="31"/>
      <c r="G32" s="31"/>
      <c r="H32" s="31"/>
      <c r="I32" s="31"/>
      <c r="J32" s="1"/>
      <c r="K32" s="1"/>
    </row>
    <row r="33" spans="2:13" s="25" customFormat="1" ht="17.5" x14ac:dyDescent="0.45">
      <c r="B33" s="32" t="s">
        <v>261</v>
      </c>
      <c r="C33" s="32"/>
      <c r="D33" s="27"/>
      <c r="E33" s="27"/>
      <c r="F33" s="27"/>
      <c r="G33" s="27"/>
      <c r="H33" s="27"/>
      <c r="I33" s="27"/>
      <c r="J33" s="27"/>
      <c r="K33" s="27"/>
      <c r="L33" s="40"/>
    </row>
    <row r="34" spans="2:13" ht="6" customHeight="1" thickBot="1" x14ac:dyDescent="0.5">
      <c r="B34" s="30"/>
      <c r="C34" s="30"/>
      <c r="D34" s="31"/>
      <c r="E34" s="16"/>
      <c r="F34" s="31"/>
      <c r="G34" s="31"/>
      <c r="H34" s="31"/>
      <c r="I34" s="31"/>
      <c r="J34" s="31"/>
      <c r="K34" s="31"/>
      <c r="L34" s="16"/>
    </row>
    <row r="35" spans="2:13" ht="48.5" thickBot="1" x14ac:dyDescent="0.5">
      <c r="B35" s="631" t="s">
        <v>46</v>
      </c>
      <c r="C35" s="631" t="s">
        <v>68</v>
      </c>
      <c r="D35" s="631" t="s">
        <v>262</v>
      </c>
      <c r="E35" s="631" t="s">
        <v>263</v>
      </c>
      <c r="F35" s="631" t="s">
        <v>264</v>
      </c>
      <c r="G35" s="18"/>
      <c r="H35" s="18"/>
      <c r="I35" s="18"/>
      <c r="J35" s="31"/>
      <c r="K35" s="31"/>
      <c r="L35" s="31"/>
      <c r="M35" s="1"/>
    </row>
    <row r="36" spans="2:13" ht="17.5" x14ac:dyDescent="0.45">
      <c r="B36" s="190" t="s">
        <v>157</v>
      </c>
      <c r="C36" s="191" t="s">
        <v>260</v>
      </c>
      <c r="D36" s="483">
        <v>0.62270000000000003</v>
      </c>
      <c r="E36" s="483">
        <v>0.99719999999999998</v>
      </c>
      <c r="F36" s="484">
        <v>2.8E-3</v>
      </c>
      <c r="G36" s="628"/>
      <c r="H36" s="628"/>
      <c r="I36" s="31"/>
      <c r="J36" s="31"/>
      <c r="K36" s="31"/>
      <c r="L36" s="31"/>
    </row>
    <row r="37" spans="2:13" ht="17.5" x14ac:dyDescent="0.45">
      <c r="B37" s="192" t="s">
        <v>158</v>
      </c>
      <c r="C37" s="33" t="s">
        <v>69</v>
      </c>
      <c r="D37" s="485">
        <v>0.26469999999999999</v>
      </c>
      <c r="E37" s="485">
        <v>0.997</v>
      </c>
      <c r="F37" s="486">
        <v>3.0000000000000001E-3</v>
      </c>
      <c r="G37" s="16"/>
      <c r="H37" s="16"/>
      <c r="I37" s="16"/>
      <c r="J37" s="31"/>
      <c r="K37" s="31"/>
      <c r="L37" s="31"/>
      <c r="M37" s="1"/>
    </row>
    <row r="38" spans="2:13" ht="17.5" x14ac:dyDescent="0.45">
      <c r="B38" s="192"/>
      <c r="C38" s="33" t="s">
        <v>70</v>
      </c>
      <c r="D38" s="485">
        <v>0.96719999999999995</v>
      </c>
      <c r="E38" s="485">
        <v>0.99709999999999999</v>
      </c>
      <c r="F38" s="486">
        <v>2.8999999999999998E-3</v>
      </c>
      <c r="G38" s="16"/>
      <c r="H38" s="16"/>
      <c r="I38" s="16"/>
      <c r="J38" s="31"/>
      <c r="K38" s="31"/>
      <c r="L38" s="31"/>
      <c r="M38" s="1"/>
    </row>
    <row r="39" spans="2:13" ht="18" thickBot="1" x14ac:dyDescent="0.5">
      <c r="B39" s="193"/>
      <c r="C39" s="194" t="s">
        <v>71</v>
      </c>
      <c r="D39" s="487">
        <v>0.96130000000000004</v>
      </c>
      <c r="E39" s="487">
        <v>1</v>
      </c>
      <c r="F39" s="488">
        <v>0</v>
      </c>
      <c r="G39" s="16"/>
      <c r="H39" s="16"/>
      <c r="I39" s="16"/>
      <c r="J39" s="31"/>
      <c r="K39" s="31"/>
      <c r="L39" s="31"/>
      <c r="M39" s="1"/>
    </row>
    <row r="40" spans="2:13" ht="17.5" x14ac:dyDescent="0.45">
      <c r="B40" s="190" t="s">
        <v>157</v>
      </c>
      <c r="C40" s="191" t="s">
        <v>260</v>
      </c>
      <c r="D40" s="483">
        <v>0.62270000000000003</v>
      </c>
      <c r="E40" s="483">
        <v>0.99719999999999998</v>
      </c>
      <c r="F40" s="484">
        <v>2.8E-3</v>
      </c>
      <c r="G40" s="628"/>
      <c r="H40" s="628"/>
      <c r="I40" s="31"/>
      <c r="J40" s="31"/>
      <c r="K40" s="31"/>
      <c r="L40" s="31"/>
    </row>
    <row r="41" spans="2:13" ht="17.5" x14ac:dyDescent="0.45">
      <c r="B41" s="192" t="s">
        <v>160</v>
      </c>
      <c r="C41" s="33" t="s">
        <v>69</v>
      </c>
      <c r="D41" s="485">
        <v>0.26469999999999999</v>
      </c>
      <c r="E41" s="485">
        <v>0.997</v>
      </c>
      <c r="F41" s="486">
        <v>3.0000000000000001E-3</v>
      </c>
      <c r="G41" s="16"/>
      <c r="H41" s="16"/>
      <c r="I41" s="16"/>
      <c r="J41" s="31"/>
      <c r="K41" s="31"/>
      <c r="L41" s="31"/>
      <c r="M41" s="1"/>
    </row>
    <row r="42" spans="2:13" ht="17.5" x14ac:dyDescent="0.45">
      <c r="B42" s="192"/>
      <c r="C42" s="33" t="s">
        <v>70</v>
      </c>
      <c r="D42" s="485">
        <v>0.96719999999999995</v>
      </c>
      <c r="E42" s="485">
        <v>0.99709999999999999</v>
      </c>
      <c r="F42" s="486">
        <v>2.8999999999999998E-3</v>
      </c>
      <c r="G42" s="16"/>
      <c r="H42" s="16"/>
      <c r="I42" s="16"/>
      <c r="J42" s="31"/>
      <c r="K42" s="31"/>
      <c r="L42" s="31"/>
      <c r="M42" s="1"/>
    </row>
    <row r="43" spans="2:13" ht="18" thickBot="1" x14ac:dyDescent="0.5">
      <c r="B43" s="193"/>
      <c r="C43" s="194" t="s">
        <v>71</v>
      </c>
      <c r="D43" s="487">
        <v>0.96130000000000004</v>
      </c>
      <c r="E43" s="487">
        <v>1</v>
      </c>
      <c r="F43" s="488">
        <v>0</v>
      </c>
      <c r="G43" s="16"/>
      <c r="H43" s="16"/>
      <c r="I43" s="16"/>
      <c r="J43" s="31"/>
      <c r="K43" s="31"/>
      <c r="L43" s="31"/>
      <c r="M43" s="1"/>
    </row>
    <row r="44" spans="2:13" ht="17.5" x14ac:dyDescent="0.45">
      <c r="B44" s="548" t="s">
        <v>35</v>
      </c>
      <c r="C44" s="431" t="s">
        <v>260</v>
      </c>
      <c r="D44" s="549">
        <v>0.66100000000000003</v>
      </c>
      <c r="E44" s="549">
        <v>0.99399999999999999</v>
      </c>
      <c r="F44" s="550">
        <v>1.2E-2</v>
      </c>
      <c r="G44" s="16"/>
      <c r="H44" s="16"/>
      <c r="I44" s="16"/>
      <c r="J44" s="31"/>
      <c r="K44" s="31"/>
      <c r="L44" s="31"/>
      <c r="M44" s="1"/>
    </row>
    <row r="45" spans="2:13" ht="17.5" x14ac:dyDescent="0.45">
      <c r="B45" s="200"/>
      <c r="C45" s="219" t="s">
        <v>69</v>
      </c>
      <c r="D45" s="46">
        <v>0.34300000000000003</v>
      </c>
      <c r="E45" s="46">
        <v>0.99</v>
      </c>
      <c r="F45" s="551">
        <v>0.01</v>
      </c>
      <c r="G45" s="16"/>
      <c r="H45" s="16"/>
      <c r="I45" s="16"/>
      <c r="J45" s="31"/>
      <c r="K45" s="31"/>
      <c r="L45" s="31"/>
      <c r="M45" s="1"/>
    </row>
    <row r="46" spans="2:13" ht="17.5" x14ac:dyDescent="0.45">
      <c r="B46" s="200"/>
      <c r="C46" s="219" t="s">
        <v>70</v>
      </c>
      <c r="D46" s="46">
        <v>0.97399999999999998</v>
      </c>
      <c r="E46" s="46">
        <v>0.998</v>
      </c>
      <c r="F46" s="551">
        <v>2E-3</v>
      </c>
      <c r="G46" s="16"/>
      <c r="H46" s="16"/>
      <c r="I46" s="16"/>
      <c r="J46" s="31"/>
      <c r="K46" s="31"/>
      <c r="L46" s="31"/>
      <c r="M46" s="1"/>
    </row>
    <row r="47" spans="2:13" ht="18" thickBot="1" x14ac:dyDescent="0.5">
      <c r="B47" s="362"/>
      <c r="C47" s="552" t="s">
        <v>71</v>
      </c>
      <c r="D47" s="553">
        <v>0.96399999999999997</v>
      </c>
      <c r="E47" s="553">
        <v>1</v>
      </c>
      <c r="F47" s="554">
        <v>0</v>
      </c>
      <c r="G47" s="16"/>
      <c r="H47" s="16"/>
      <c r="I47" s="16"/>
      <c r="J47" s="31"/>
      <c r="K47" s="31"/>
      <c r="L47" s="31"/>
      <c r="M47" s="1"/>
    </row>
    <row r="48" spans="2:13" ht="17.5" x14ac:dyDescent="0.45">
      <c r="B48" s="41" t="s">
        <v>36</v>
      </c>
      <c r="C48" s="42" t="s">
        <v>260</v>
      </c>
      <c r="D48" s="50">
        <v>0.66100000000000003</v>
      </c>
      <c r="E48" s="50">
        <v>0.99399999999999999</v>
      </c>
      <c r="F48" s="50">
        <v>1.2E-2</v>
      </c>
      <c r="G48" s="628"/>
      <c r="H48" s="628"/>
      <c r="I48" s="31"/>
      <c r="J48" s="31"/>
      <c r="K48" s="31"/>
      <c r="L48" s="31"/>
    </row>
    <row r="49" spans="2:13" ht="17.5" x14ac:dyDescent="0.45">
      <c r="B49" s="42"/>
      <c r="C49" s="33" t="s">
        <v>69</v>
      </c>
      <c r="D49" s="46">
        <v>0.34300000000000003</v>
      </c>
      <c r="E49" s="46">
        <v>0.99</v>
      </c>
      <c r="F49" s="46">
        <v>0.01</v>
      </c>
      <c r="G49" s="16"/>
      <c r="H49" s="16"/>
      <c r="I49" s="16"/>
      <c r="J49" s="31"/>
      <c r="K49" s="31"/>
      <c r="L49" s="31"/>
      <c r="M49" s="1"/>
    </row>
    <row r="50" spans="2:13" ht="17.5" x14ac:dyDescent="0.45">
      <c r="B50" s="42"/>
      <c r="C50" s="33" t="s">
        <v>70</v>
      </c>
      <c r="D50" s="46">
        <v>0.97399999999999998</v>
      </c>
      <c r="E50" s="46">
        <v>0.998</v>
      </c>
      <c r="F50" s="46">
        <v>2E-3</v>
      </c>
      <c r="G50" s="16"/>
      <c r="H50" s="16"/>
      <c r="I50" s="16"/>
      <c r="J50" s="31"/>
      <c r="K50" s="31"/>
      <c r="L50" s="31"/>
      <c r="M50" s="1"/>
    </row>
    <row r="51" spans="2:13" ht="18" thickBot="1" x14ac:dyDescent="0.5">
      <c r="B51" s="33"/>
      <c r="C51" s="43" t="s">
        <v>71</v>
      </c>
      <c r="D51" s="46">
        <v>0.96399999999999997</v>
      </c>
      <c r="E51" s="46">
        <v>1</v>
      </c>
      <c r="F51" s="46">
        <v>0</v>
      </c>
      <c r="G51" s="16"/>
      <c r="H51" s="16"/>
      <c r="I51" s="16"/>
      <c r="J51" s="31"/>
      <c r="K51" s="31"/>
      <c r="L51" s="31"/>
      <c r="M51" s="1"/>
    </row>
    <row r="52" spans="2:13" ht="17.5" x14ac:dyDescent="0.45">
      <c r="B52" s="44" t="s">
        <v>37</v>
      </c>
      <c r="C52" s="44" t="s">
        <v>260</v>
      </c>
      <c r="D52" s="45">
        <v>0.56999999999999995</v>
      </c>
      <c r="E52" s="45">
        <v>0.42</v>
      </c>
      <c r="F52" s="45">
        <v>0.01</v>
      </c>
      <c r="G52" s="628"/>
      <c r="H52" s="628"/>
      <c r="I52" s="31"/>
      <c r="J52" s="31"/>
      <c r="K52" s="31"/>
      <c r="L52" s="31"/>
    </row>
    <row r="53" spans="2:13" ht="17.5" x14ac:dyDescent="0.45">
      <c r="B53" s="42"/>
      <c r="C53" s="33" t="s">
        <v>69</v>
      </c>
      <c r="D53" s="46">
        <v>0.21</v>
      </c>
      <c r="E53" s="46">
        <v>0.79</v>
      </c>
      <c r="F53" s="46">
        <v>0.01</v>
      </c>
      <c r="G53" s="16"/>
      <c r="H53" s="16"/>
      <c r="I53" s="16"/>
      <c r="J53" s="31"/>
      <c r="K53" s="31"/>
      <c r="L53" s="31"/>
      <c r="M53" s="1"/>
    </row>
    <row r="54" spans="2:13" ht="17.5" x14ac:dyDescent="0.45">
      <c r="B54" s="42"/>
      <c r="C54" s="33" t="s">
        <v>70</v>
      </c>
      <c r="D54" s="46">
        <v>0.97</v>
      </c>
      <c r="E54" s="46">
        <v>0.02</v>
      </c>
      <c r="F54" s="46">
        <v>0</v>
      </c>
      <c r="G54" s="16"/>
      <c r="H54" s="16"/>
      <c r="I54" s="16"/>
      <c r="J54" s="31"/>
      <c r="K54" s="31"/>
      <c r="L54" s="31"/>
      <c r="M54" s="1"/>
    </row>
    <row r="55" spans="2:13" ht="18" thickBot="1" x14ac:dyDescent="0.5">
      <c r="B55" s="47"/>
      <c r="C55" s="48" t="s">
        <v>71</v>
      </c>
      <c r="D55" s="49">
        <v>0.92</v>
      </c>
      <c r="E55" s="49">
        <v>0</v>
      </c>
      <c r="F55" s="49">
        <v>0.08</v>
      </c>
      <c r="G55" s="16"/>
      <c r="H55" s="16"/>
      <c r="I55" s="16"/>
      <c r="J55" s="31"/>
      <c r="K55" s="31"/>
      <c r="L55" s="31"/>
      <c r="M55" s="1"/>
    </row>
    <row r="56" spans="2:13" ht="17.5" x14ac:dyDescent="0.45">
      <c r="B56" s="42" t="s">
        <v>57</v>
      </c>
      <c r="C56" s="42" t="s">
        <v>260</v>
      </c>
      <c r="D56" s="50">
        <f>D88/H31</f>
        <v>0.48551430507664806</v>
      </c>
      <c r="E56" s="50">
        <f>E88/H31</f>
        <v>0.48754953802142148</v>
      </c>
      <c r="F56" s="50">
        <f>F88/H31</f>
        <v>2.6936156901930467E-2</v>
      </c>
      <c r="G56" s="628"/>
      <c r="H56" s="628"/>
      <c r="I56" s="31"/>
      <c r="J56" s="31"/>
      <c r="K56" s="31"/>
      <c r="L56" s="31"/>
    </row>
    <row r="57" spans="2:13" ht="17.5" x14ac:dyDescent="0.45">
      <c r="B57" s="42"/>
      <c r="C57" s="33" t="s">
        <v>69</v>
      </c>
      <c r="D57" s="46">
        <f>D89/H28</f>
        <v>8.4348205162379494E-2</v>
      </c>
      <c r="E57" s="46">
        <f>E89/H28</f>
        <v>0.89514680239015509</v>
      </c>
      <c r="F57" s="46">
        <f>F89/H28</f>
        <v>2.0504992447465457E-2</v>
      </c>
      <c r="G57" s="16"/>
      <c r="H57" s="16"/>
      <c r="I57" s="16"/>
      <c r="J57" s="31"/>
      <c r="K57" s="31"/>
      <c r="L57" s="31"/>
      <c r="M57" s="1"/>
    </row>
    <row r="58" spans="2:13" ht="17.5" x14ac:dyDescent="0.45">
      <c r="B58" s="42"/>
      <c r="C58" s="33" t="s">
        <v>70</v>
      </c>
      <c r="D58" s="46">
        <f>D90/H29</f>
        <v>0.96575479544049558</v>
      </c>
      <c r="E58" s="46">
        <f>E90/H29</f>
        <v>3.2468901351573723E-2</v>
      </c>
      <c r="F58" s="46">
        <f>F90/H29</f>
        <v>1.7763032079306557E-3</v>
      </c>
      <c r="G58" s="16"/>
      <c r="H58" s="16"/>
      <c r="I58" s="16"/>
      <c r="J58" s="31"/>
      <c r="K58" s="31"/>
      <c r="L58" s="31"/>
      <c r="M58" s="1"/>
    </row>
    <row r="59" spans="2:13" ht="18" thickBot="1" x14ac:dyDescent="0.5">
      <c r="B59" s="47"/>
      <c r="C59" s="48" t="s">
        <v>71</v>
      </c>
      <c r="D59" s="49">
        <f>D91/H30</f>
        <v>0.69512195121951215</v>
      </c>
      <c r="E59" s="49">
        <f>E91/H30</f>
        <v>7.0826576651112513E-2</v>
      </c>
      <c r="F59" s="49">
        <f>F91/H30</f>
        <v>0.2340514721293753</v>
      </c>
      <c r="G59" s="16"/>
      <c r="H59" s="16"/>
      <c r="I59" s="16"/>
      <c r="J59" s="31"/>
      <c r="K59" s="31"/>
      <c r="L59" s="31"/>
      <c r="M59" s="1"/>
    </row>
    <row r="60" spans="2:13" ht="17.5" x14ac:dyDescent="0.45">
      <c r="B60" s="42" t="s">
        <v>39</v>
      </c>
      <c r="C60" s="42" t="s">
        <v>260</v>
      </c>
      <c r="D60" s="50">
        <v>0.43</v>
      </c>
      <c r="E60" s="50">
        <v>0.54</v>
      </c>
      <c r="F60" s="50">
        <v>0.03</v>
      </c>
      <c r="G60" s="16"/>
      <c r="H60" s="16"/>
      <c r="I60" s="51"/>
      <c r="J60" s="31"/>
      <c r="K60" s="31"/>
      <c r="L60" s="31"/>
    </row>
    <row r="61" spans="2:13" ht="17.5" x14ac:dyDescent="0.45">
      <c r="B61" s="42"/>
      <c r="C61" s="33" t="s">
        <v>69</v>
      </c>
      <c r="D61" s="46">
        <v>0.01</v>
      </c>
      <c r="E61" s="46">
        <v>0.97</v>
      </c>
      <c r="F61" s="46">
        <v>0.02</v>
      </c>
      <c r="G61" s="52"/>
      <c r="H61" s="52"/>
      <c r="I61" s="52"/>
      <c r="J61" s="51"/>
      <c r="K61" s="31"/>
      <c r="L61" s="31"/>
      <c r="M61" s="1"/>
    </row>
    <row r="62" spans="2:13" ht="17.5" x14ac:dyDescent="0.45">
      <c r="B62" s="42"/>
      <c r="C62" s="33" t="s">
        <v>70</v>
      </c>
      <c r="D62" s="46">
        <v>0.95</v>
      </c>
      <c r="E62" s="46">
        <v>0.05</v>
      </c>
      <c r="F62" s="46">
        <v>2E-3</v>
      </c>
      <c r="G62" s="52"/>
      <c r="H62" s="52"/>
      <c r="I62" s="52"/>
      <c r="J62" s="51"/>
      <c r="K62" s="31"/>
      <c r="L62" s="31"/>
      <c r="M62" s="1"/>
    </row>
    <row r="63" spans="2:13" ht="18" thickBot="1" x14ac:dyDescent="0.5">
      <c r="B63" s="47"/>
      <c r="C63" s="48" t="s">
        <v>71</v>
      </c>
      <c r="D63" s="49">
        <v>0.51</v>
      </c>
      <c r="E63" s="49">
        <v>0.28999999999999998</v>
      </c>
      <c r="F63" s="49">
        <v>0.2</v>
      </c>
      <c r="G63" s="52"/>
      <c r="H63" s="52"/>
      <c r="I63" s="52"/>
      <c r="J63" s="51"/>
      <c r="K63" s="31"/>
      <c r="L63" s="31"/>
      <c r="M63" s="1"/>
    </row>
    <row r="64" spans="2:13" ht="17.5" x14ac:dyDescent="0.45">
      <c r="B64" s="16"/>
      <c r="C64" s="16"/>
      <c r="D64" s="16"/>
      <c r="E64" s="16"/>
      <c r="F64" s="16"/>
      <c r="G64" s="52"/>
      <c r="H64" s="52"/>
      <c r="I64" s="52"/>
      <c r="J64" s="51"/>
      <c r="K64" s="31"/>
      <c r="L64" s="31"/>
      <c r="M64" s="1"/>
    </row>
    <row r="65" spans="2:12" s="25" customFormat="1" ht="17.5" x14ac:dyDescent="0.45">
      <c r="B65" s="32" t="s">
        <v>265</v>
      </c>
      <c r="C65" s="32"/>
      <c r="D65" s="27"/>
      <c r="E65" s="27"/>
      <c r="F65" s="27"/>
      <c r="G65" s="27"/>
      <c r="H65" s="27"/>
      <c r="I65" s="27"/>
      <c r="J65" s="27"/>
      <c r="K65" s="27"/>
      <c r="L65" s="40"/>
    </row>
    <row r="66" spans="2:12" ht="6" customHeight="1" thickBot="1" x14ac:dyDescent="0.5">
      <c r="B66" s="30"/>
      <c r="C66" s="30"/>
      <c r="D66" s="31"/>
      <c r="E66" s="16"/>
      <c r="F66" s="31"/>
      <c r="G66" s="31"/>
      <c r="H66" s="31"/>
      <c r="I66" s="31"/>
      <c r="J66" s="31"/>
      <c r="K66" s="31"/>
      <c r="L66" s="16"/>
    </row>
    <row r="67" spans="2:12" ht="64" x14ac:dyDescent="0.45">
      <c r="B67" s="631" t="s">
        <v>46</v>
      </c>
      <c r="C67" s="631" t="s">
        <v>68</v>
      </c>
      <c r="D67" s="631" t="s">
        <v>266</v>
      </c>
      <c r="E67" s="631" t="s">
        <v>267</v>
      </c>
      <c r="F67" s="631" t="s">
        <v>268</v>
      </c>
      <c r="G67" s="53"/>
      <c r="H67" s="53"/>
      <c r="I67" s="53"/>
      <c r="J67" s="16"/>
      <c r="K67" s="16"/>
      <c r="L67" s="16"/>
    </row>
    <row r="68" spans="2:12" ht="17.5" x14ac:dyDescent="0.45">
      <c r="B68" s="42" t="s">
        <v>157</v>
      </c>
      <c r="C68" s="42" t="s">
        <v>260</v>
      </c>
      <c r="D68" s="75">
        <f>SUM(D69:D71)</f>
        <v>1972143</v>
      </c>
      <c r="E68" s="75">
        <f>SUM(E69:E71)</f>
        <v>1186221</v>
      </c>
      <c r="F68" s="75">
        <f>SUM(F69:F71)</f>
        <v>8967</v>
      </c>
      <c r="G68" s="51"/>
      <c r="H68" s="51"/>
      <c r="I68" s="51"/>
      <c r="J68" s="31"/>
      <c r="K68" s="31"/>
      <c r="L68" s="16"/>
    </row>
    <row r="69" spans="2:12" ht="17.5" x14ac:dyDescent="0.45">
      <c r="B69" s="42" t="s">
        <v>158</v>
      </c>
      <c r="C69" s="33" t="s">
        <v>69</v>
      </c>
      <c r="D69" s="481">
        <v>410939</v>
      </c>
      <c r="E69" s="481">
        <v>1136731</v>
      </c>
      <c r="F69" s="481">
        <v>4660</v>
      </c>
      <c r="G69" s="666"/>
      <c r="H69" s="666"/>
      <c r="I69" s="666"/>
      <c r="J69" s="31"/>
      <c r="K69" s="31"/>
      <c r="L69" s="16"/>
    </row>
    <row r="70" spans="2:12" ht="17.5" x14ac:dyDescent="0.45">
      <c r="B70" s="42"/>
      <c r="C70" s="33" t="s">
        <v>70</v>
      </c>
      <c r="D70" s="481">
        <v>1425098</v>
      </c>
      <c r="E70" s="481">
        <v>44009</v>
      </c>
      <c r="F70" s="481">
        <v>4307</v>
      </c>
      <c r="G70" s="666"/>
      <c r="H70" s="666"/>
      <c r="I70" s="666"/>
      <c r="J70" s="31"/>
      <c r="K70" s="31"/>
      <c r="L70" s="16"/>
    </row>
    <row r="71" spans="2:12" ht="18" thickBot="1" x14ac:dyDescent="0.5">
      <c r="B71" s="47"/>
      <c r="C71" s="47" t="s">
        <v>71</v>
      </c>
      <c r="D71" s="218">
        <v>136106</v>
      </c>
      <c r="E71" s="218">
        <v>5481</v>
      </c>
      <c r="F71" s="218">
        <v>0</v>
      </c>
      <c r="G71" s="666"/>
      <c r="H71" s="666"/>
      <c r="I71" s="666"/>
      <c r="J71" s="31"/>
      <c r="K71" s="31"/>
      <c r="L71" s="16"/>
    </row>
    <row r="72" spans="2:12" ht="17.5" x14ac:dyDescent="0.45">
      <c r="B72" s="42" t="s">
        <v>157</v>
      </c>
      <c r="C72" s="42" t="s">
        <v>260</v>
      </c>
      <c r="D72" s="75">
        <f>SUM(D73:D75)</f>
        <v>1972143</v>
      </c>
      <c r="E72" s="75">
        <f>SUM(E73:E75)</f>
        <v>1186221</v>
      </c>
      <c r="F72" s="75">
        <f>SUM(F73:F75)</f>
        <v>8967</v>
      </c>
      <c r="G72" s="51"/>
      <c r="H72" s="51"/>
      <c r="I72" s="51"/>
      <c r="J72" s="31"/>
      <c r="K72" s="31"/>
      <c r="L72" s="16"/>
    </row>
    <row r="73" spans="2:12" ht="17.5" x14ac:dyDescent="0.45">
      <c r="B73" s="42" t="s">
        <v>160</v>
      </c>
      <c r="C73" s="33" t="s">
        <v>69</v>
      </c>
      <c r="D73" s="481">
        <v>410939</v>
      </c>
      <c r="E73" s="481">
        <v>1136731</v>
      </c>
      <c r="F73" s="481">
        <v>4660</v>
      </c>
      <c r="G73" s="666"/>
      <c r="H73" s="666"/>
      <c r="I73" s="666"/>
      <c r="J73" s="31"/>
      <c r="K73" s="31"/>
      <c r="L73" s="16"/>
    </row>
    <row r="74" spans="2:12" ht="17.5" x14ac:dyDescent="0.45">
      <c r="B74" s="42"/>
      <c r="C74" s="33" t="s">
        <v>70</v>
      </c>
      <c r="D74" s="481">
        <v>1425098</v>
      </c>
      <c r="E74" s="481">
        <v>44009</v>
      </c>
      <c r="F74" s="481">
        <v>4307</v>
      </c>
      <c r="G74" s="666"/>
      <c r="H74" s="666"/>
      <c r="I74" s="666"/>
      <c r="J74" s="31"/>
      <c r="K74" s="31"/>
      <c r="L74" s="16"/>
    </row>
    <row r="75" spans="2:12" ht="18" thickBot="1" x14ac:dyDescent="0.5">
      <c r="B75" s="33"/>
      <c r="C75" s="33" t="s">
        <v>71</v>
      </c>
      <c r="D75" s="481">
        <v>136106</v>
      </c>
      <c r="E75" s="481">
        <v>5481</v>
      </c>
      <c r="F75" s="481">
        <v>0</v>
      </c>
      <c r="G75" s="666"/>
      <c r="H75" s="666"/>
      <c r="I75" s="666"/>
      <c r="J75" s="31"/>
      <c r="K75" s="31"/>
      <c r="L75" s="16"/>
    </row>
    <row r="76" spans="2:12" ht="17.5" x14ac:dyDescent="0.45">
      <c r="B76" s="431" t="s">
        <v>35</v>
      </c>
      <c r="C76" s="191" t="s">
        <v>260</v>
      </c>
      <c r="D76" s="555">
        <f>SUM(D77:D79)</f>
        <v>2022393</v>
      </c>
      <c r="E76" s="555">
        <f>SUM(E77:E79)</f>
        <v>1016946</v>
      </c>
      <c r="F76" s="556">
        <f>SUM(F77:F79)</f>
        <v>18543</v>
      </c>
      <c r="G76" s="628"/>
      <c r="H76" s="628"/>
      <c r="I76" s="628"/>
      <c r="J76" s="31"/>
      <c r="K76" s="31"/>
      <c r="L76" s="16"/>
    </row>
    <row r="77" spans="2:12" ht="17.5" x14ac:dyDescent="0.45">
      <c r="B77" s="192"/>
      <c r="C77" s="33" t="s">
        <v>69</v>
      </c>
      <c r="D77" s="34">
        <v>519765</v>
      </c>
      <c r="E77" s="34">
        <v>977812</v>
      </c>
      <c r="F77" s="557">
        <v>15838</v>
      </c>
      <c r="G77" s="628"/>
      <c r="H77" s="628"/>
      <c r="I77" s="628"/>
      <c r="J77" s="31"/>
      <c r="K77" s="31"/>
      <c r="L77" s="16"/>
    </row>
    <row r="78" spans="2:12" ht="17.5" x14ac:dyDescent="0.45">
      <c r="B78" s="192"/>
      <c r="C78" s="33" t="s">
        <v>70</v>
      </c>
      <c r="D78" s="34">
        <v>1364505</v>
      </c>
      <c r="E78" s="34">
        <v>34030</v>
      </c>
      <c r="F78" s="557">
        <v>2705</v>
      </c>
      <c r="G78" s="628"/>
      <c r="H78" s="628"/>
      <c r="I78" s="628"/>
      <c r="J78" s="31"/>
      <c r="K78" s="31"/>
      <c r="L78" s="16"/>
    </row>
    <row r="79" spans="2:12" ht="18" thickBot="1" x14ac:dyDescent="0.5">
      <c r="B79" s="193"/>
      <c r="C79" s="558" t="s">
        <v>71</v>
      </c>
      <c r="D79" s="559">
        <v>138123</v>
      </c>
      <c r="E79" s="559">
        <v>5104</v>
      </c>
      <c r="F79" s="560" t="s">
        <v>53</v>
      </c>
      <c r="G79" s="628"/>
      <c r="H79" s="628"/>
      <c r="I79" s="628"/>
      <c r="J79" s="31"/>
      <c r="K79" s="31"/>
      <c r="L79" s="16"/>
    </row>
    <row r="80" spans="2:12" ht="17.5" x14ac:dyDescent="0.45">
      <c r="B80" s="42" t="s">
        <v>36</v>
      </c>
      <c r="C80" s="42" t="s">
        <v>260</v>
      </c>
      <c r="D80" s="75">
        <f>SUM(D81:D83)</f>
        <v>2022393</v>
      </c>
      <c r="E80" s="75">
        <f>SUM(E81:E83)</f>
        <v>1016946</v>
      </c>
      <c r="F80" s="75">
        <f>SUM(F81:F83)</f>
        <v>18543</v>
      </c>
      <c r="G80" s="51"/>
      <c r="H80" s="51"/>
      <c r="I80" s="51"/>
      <c r="J80" s="31"/>
      <c r="K80" s="31"/>
      <c r="L80" s="16"/>
    </row>
    <row r="81" spans="2:12" ht="17.5" x14ac:dyDescent="0.45">
      <c r="B81" s="42"/>
      <c r="C81" s="33" t="s">
        <v>69</v>
      </c>
      <c r="D81" s="34">
        <v>519765</v>
      </c>
      <c r="E81" s="34">
        <v>977812</v>
      </c>
      <c r="F81" s="34">
        <v>15838</v>
      </c>
      <c r="G81" s="666"/>
      <c r="H81" s="666"/>
      <c r="I81" s="666"/>
      <c r="J81" s="31"/>
      <c r="K81" s="31"/>
      <c r="L81" s="16"/>
    </row>
    <row r="82" spans="2:12" ht="17.5" x14ac:dyDescent="0.45">
      <c r="B82" s="42"/>
      <c r="C82" s="33" t="s">
        <v>70</v>
      </c>
      <c r="D82" s="34">
        <v>1364505</v>
      </c>
      <c r="E82" s="34">
        <v>34030</v>
      </c>
      <c r="F82" s="34">
        <v>2705</v>
      </c>
      <c r="G82" s="666"/>
      <c r="H82" s="666"/>
      <c r="I82" s="666"/>
      <c r="J82" s="31"/>
      <c r="K82" s="31"/>
      <c r="L82" s="16"/>
    </row>
    <row r="83" spans="2:12" ht="18" thickBot="1" x14ac:dyDescent="0.5">
      <c r="B83" s="47"/>
      <c r="C83" s="47" t="s">
        <v>71</v>
      </c>
      <c r="D83" s="76">
        <v>138123</v>
      </c>
      <c r="E83" s="76">
        <v>5104</v>
      </c>
      <c r="F83" s="76" t="s">
        <v>53</v>
      </c>
      <c r="G83" s="666"/>
      <c r="H83" s="666"/>
      <c r="I83" s="666"/>
      <c r="J83" s="31"/>
      <c r="K83" s="31"/>
      <c r="L83" s="16"/>
    </row>
    <row r="84" spans="2:12" ht="17.5" x14ac:dyDescent="0.45">
      <c r="B84" s="42" t="s">
        <v>37</v>
      </c>
      <c r="C84" s="42" t="s">
        <v>260</v>
      </c>
      <c r="D84" s="75">
        <f>SUM(D85:D87)</f>
        <v>1526091.8044192286</v>
      </c>
      <c r="E84" s="75">
        <f>SUM(E85:E87)</f>
        <v>1141869.48</v>
      </c>
      <c r="F84" s="75">
        <f>SUM(F85:F87)</f>
        <v>24208</v>
      </c>
      <c r="G84" s="51"/>
      <c r="H84" s="51"/>
      <c r="I84" s="51"/>
      <c r="J84" s="31"/>
      <c r="K84" s="31"/>
      <c r="L84" s="16"/>
    </row>
    <row r="85" spans="2:12" ht="17.5" x14ac:dyDescent="0.45">
      <c r="B85" s="42"/>
      <c r="C85" s="33" t="s">
        <v>69</v>
      </c>
      <c r="D85" s="34">
        <v>291469.51999999996</v>
      </c>
      <c r="E85" s="34">
        <v>1114744.48</v>
      </c>
      <c r="F85" s="34">
        <v>9646</v>
      </c>
      <c r="G85" s="666"/>
      <c r="H85" s="666"/>
      <c r="I85" s="666"/>
      <c r="J85" s="31"/>
      <c r="K85" s="31"/>
      <c r="L85" s="16"/>
    </row>
    <row r="86" spans="2:12" ht="17.5" x14ac:dyDescent="0.45">
      <c r="B86" s="42"/>
      <c r="C86" s="33" t="s">
        <v>70</v>
      </c>
      <c r="D86" s="34">
        <v>1085729.2844192286</v>
      </c>
      <c r="E86" s="34">
        <v>27125</v>
      </c>
      <c r="F86" s="34">
        <v>2056</v>
      </c>
      <c r="G86" s="666"/>
      <c r="H86" s="666"/>
      <c r="I86" s="666"/>
      <c r="J86" s="31"/>
      <c r="K86" s="31"/>
      <c r="L86" s="16"/>
    </row>
    <row r="87" spans="2:12" ht="18" thickBot="1" x14ac:dyDescent="0.5">
      <c r="B87" s="47"/>
      <c r="C87" s="47" t="s">
        <v>71</v>
      </c>
      <c r="D87" s="76">
        <v>148893</v>
      </c>
      <c r="E87" s="76">
        <v>0</v>
      </c>
      <c r="F87" s="76">
        <v>12506</v>
      </c>
      <c r="G87" s="666"/>
      <c r="H87" s="666"/>
      <c r="I87" s="666"/>
      <c r="J87" s="31"/>
      <c r="K87" s="31"/>
      <c r="L87" s="16"/>
    </row>
    <row r="88" spans="2:12" ht="17.5" x14ac:dyDescent="0.45">
      <c r="B88" s="44" t="s">
        <v>57</v>
      </c>
      <c r="C88" s="44" t="s">
        <v>260</v>
      </c>
      <c r="D88" s="78">
        <v>1333282</v>
      </c>
      <c r="E88" s="78">
        <v>1338871</v>
      </c>
      <c r="F88" s="78">
        <v>73970</v>
      </c>
      <c r="G88" s="51"/>
      <c r="H88" s="51"/>
      <c r="I88" s="51"/>
      <c r="J88" s="31"/>
      <c r="K88" s="31"/>
      <c r="L88" s="16"/>
    </row>
    <row r="89" spans="2:12" ht="17.5" x14ac:dyDescent="0.45">
      <c r="B89" s="42"/>
      <c r="C89" s="33" t="s">
        <v>69</v>
      </c>
      <c r="D89" s="34">
        <v>121510</v>
      </c>
      <c r="E89" s="34">
        <v>1289527</v>
      </c>
      <c r="F89" s="34">
        <v>29539</v>
      </c>
      <c r="G89" s="666"/>
      <c r="H89" s="666"/>
      <c r="I89" s="666"/>
      <c r="J89" s="31"/>
      <c r="K89" s="31"/>
      <c r="L89" s="16"/>
    </row>
    <row r="90" spans="2:12" ht="17.5" x14ac:dyDescent="0.45">
      <c r="B90" s="42"/>
      <c r="C90" s="33" t="s">
        <v>70</v>
      </c>
      <c r="D90" s="34">
        <v>1085745</v>
      </c>
      <c r="E90" s="34">
        <v>36503</v>
      </c>
      <c r="F90" s="34">
        <v>1997</v>
      </c>
      <c r="G90" s="666"/>
      <c r="H90" s="666"/>
      <c r="I90" s="666"/>
      <c r="J90" s="31"/>
      <c r="K90" s="31"/>
      <c r="L90" s="16"/>
    </row>
    <row r="91" spans="2:12" ht="18" thickBot="1" x14ac:dyDescent="0.5">
      <c r="B91" s="47"/>
      <c r="C91" s="47" t="s">
        <v>71</v>
      </c>
      <c r="D91" s="76">
        <v>126027</v>
      </c>
      <c r="E91" s="76">
        <v>12841</v>
      </c>
      <c r="F91" s="76">
        <v>42434</v>
      </c>
      <c r="G91" s="666"/>
      <c r="H91" s="666"/>
      <c r="I91" s="666"/>
      <c r="J91" s="31"/>
      <c r="K91" s="31"/>
      <c r="L91" s="16"/>
    </row>
    <row r="92" spans="2:12" ht="17.5" x14ac:dyDescent="0.45">
      <c r="B92" s="44" t="s">
        <v>39</v>
      </c>
      <c r="C92" s="44" t="s">
        <v>260</v>
      </c>
      <c r="D92" s="78">
        <v>999686</v>
      </c>
      <c r="E92" s="78">
        <v>1257710</v>
      </c>
      <c r="F92" s="78">
        <v>72377</v>
      </c>
      <c r="G92" s="666"/>
      <c r="H92" s="666"/>
      <c r="I92" s="666"/>
      <c r="J92" s="31"/>
      <c r="K92" s="31"/>
      <c r="L92" s="16"/>
    </row>
    <row r="93" spans="2:12" ht="17.5" x14ac:dyDescent="0.45">
      <c r="B93" s="42"/>
      <c r="C93" s="33" t="s">
        <v>69</v>
      </c>
      <c r="D93" s="34">
        <v>12461</v>
      </c>
      <c r="E93" s="34">
        <v>1157657</v>
      </c>
      <c r="F93" s="34">
        <v>29057</v>
      </c>
      <c r="G93" s="666"/>
      <c r="H93" s="666"/>
      <c r="I93" s="666"/>
      <c r="J93" s="31"/>
      <c r="K93" s="31"/>
      <c r="L93" s="16"/>
    </row>
    <row r="94" spans="2:12" ht="17.5" x14ac:dyDescent="0.45">
      <c r="B94" s="42"/>
      <c r="C94" s="33" t="s">
        <v>70</v>
      </c>
      <c r="D94" s="34">
        <v>882780</v>
      </c>
      <c r="E94" s="34">
        <v>42719</v>
      </c>
      <c r="F94" s="34">
        <v>2155</v>
      </c>
      <c r="G94" s="666"/>
      <c r="H94" s="666"/>
      <c r="I94" s="666"/>
      <c r="J94" s="31"/>
      <c r="K94" s="31"/>
      <c r="L94" s="16"/>
    </row>
    <row r="95" spans="2:12" ht="18" thickBot="1" x14ac:dyDescent="0.5">
      <c r="B95" s="47"/>
      <c r="C95" s="47" t="s">
        <v>71</v>
      </c>
      <c r="D95" s="76">
        <v>104445</v>
      </c>
      <c r="E95" s="76">
        <v>57334</v>
      </c>
      <c r="F95" s="76">
        <v>41165</v>
      </c>
      <c r="G95" s="666"/>
      <c r="H95" s="666"/>
      <c r="I95" s="666"/>
      <c r="J95" s="31"/>
      <c r="K95" s="31"/>
      <c r="L95" s="16"/>
    </row>
    <row r="96" spans="2:12" ht="17.5" x14ac:dyDescent="0.45">
      <c r="B96" s="628"/>
      <c r="C96" s="628"/>
      <c r="D96" s="628"/>
      <c r="E96" s="628"/>
      <c r="F96" s="628"/>
      <c r="G96" s="628"/>
      <c r="H96" s="628"/>
      <c r="I96" s="628"/>
      <c r="J96" s="628"/>
      <c r="K96" s="628"/>
      <c r="L96" s="16"/>
    </row>
    <row r="97" spans="2:15" s="25" customFormat="1" ht="17.5" x14ac:dyDescent="0.45">
      <c r="B97" s="32" t="s">
        <v>236</v>
      </c>
      <c r="C97" s="32"/>
      <c r="D97" s="27"/>
      <c r="E97" s="27"/>
      <c r="F97" s="27"/>
      <c r="G97" s="27"/>
      <c r="H97" s="27"/>
      <c r="I97" s="27"/>
      <c r="J97" s="27"/>
      <c r="K97" s="27"/>
      <c r="L97" s="40"/>
    </row>
    <row r="98" spans="2:15" ht="6" customHeight="1" thickBot="1" x14ac:dyDescent="0.5">
      <c r="B98" s="30"/>
      <c r="C98" s="30"/>
      <c r="D98" s="31"/>
      <c r="E98" s="16"/>
      <c r="F98" s="31"/>
      <c r="G98" s="31"/>
      <c r="H98" s="31"/>
      <c r="I98" s="31"/>
      <c r="J98" s="31"/>
      <c r="K98" s="31"/>
      <c r="L98" s="16"/>
    </row>
    <row r="99" spans="2:15" ht="32" x14ac:dyDescent="0.45">
      <c r="B99" s="631" t="s">
        <v>68</v>
      </c>
      <c r="C99" s="631" t="s">
        <v>33</v>
      </c>
      <c r="D99" s="631" t="s">
        <v>34</v>
      </c>
      <c r="E99" s="631" t="s">
        <v>35</v>
      </c>
      <c r="F99" s="631" t="s">
        <v>36</v>
      </c>
      <c r="G99" s="631" t="s">
        <v>37</v>
      </c>
      <c r="H99" s="631" t="s">
        <v>57</v>
      </c>
      <c r="I99" s="631" t="s">
        <v>39</v>
      </c>
      <c r="J99" s="16"/>
      <c r="K99" s="16"/>
      <c r="L99" s="16"/>
      <c r="M99" s="16"/>
    </row>
    <row r="100" spans="2:15" ht="17.5" x14ac:dyDescent="0.45">
      <c r="B100" s="33" t="s">
        <v>269</v>
      </c>
      <c r="C100" s="489">
        <v>0.43409999999999999</v>
      </c>
      <c r="D100" s="489">
        <v>0.43409999999999999</v>
      </c>
      <c r="E100" s="81">
        <v>0.43</v>
      </c>
      <c r="F100" s="81">
        <v>0.43</v>
      </c>
      <c r="G100" s="81">
        <v>0.37797267825086395</v>
      </c>
      <c r="H100" s="82">
        <v>0.38</v>
      </c>
      <c r="I100" s="82">
        <v>0.37</v>
      </c>
      <c r="J100" s="16"/>
      <c r="K100" s="16"/>
      <c r="L100" s="16"/>
      <c r="M100" s="16"/>
    </row>
    <row r="101" spans="2:15" ht="17.5" x14ac:dyDescent="0.45">
      <c r="B101" s="33" t="s">
        <v>270</v>
      </c>
      <c r="C101" s="489">
        <v>3.4000000000000002E-2</v>
      </c>
      <c r="D101" s="489">
        <v>3.4000000000000002E-2</v>
      </c>
      <c r="E101" s="81">
        <v>0.04</v>
      </c>
      <c r="F101" s="81">
        <v>0.04</v>
      </c>
      <c r="G101" s="81">
        <v>3.6273691636671331E-2</v>
      </c>
      <c r="H101" s="82">
        <v>0.04</v>
      </c>
      <c r="I101" s="82">
        <v>0.05</v>
      </c>
      <c r="J101" s="16"/>
      <c r="K101" s="16"/>
      <c r="L101" s="16"/>
      <c r="M101" s="16"/>
    </row>
    <row r="102" spans="2:15" ht="17.5" x14ac:dyDescent="0.45">
      <c r="B102" s="33" t="s">
        <v>271</v>
      </c>
      <c r="C102" s="489">
        <v>0.31840000000000002</v>
      </c>
      <c r="D102" s="489">
        <v>0.31840000000000002</v>
      </c>
      <c r="E102" s="81">
        <v>0.32</v>
      </c>
      <c r="F102" s="81">
        <v>0.32</v>
      </c>
      <c r="G102" s="81">
        <v>0.24278987877590244</v>
      </c>
      <c r="H102" s="82">
        <v>0.28000000000000003</v>
      </c>
      <c r="I102" s="82">
        <v>0.26</v>
      </c>
      <c r="J102" s="16"/>
      <c r="K102" s="16"/>
      <c r="L102" s="16"/>
      <c r="M102" s="16"/>
    </row>
    <row r="103" spans="2:15" ht="17.5" x14ac:dyDescent="0.45">
      <c r="B103" s="33" t="s">
        <v>272</v>
      </c>
      <c r="C103" s="489">
        <v>3.73E-2</v>
      </c>
      <c r="D103" s="489">
        <v>3.73E-2</v>
      </c>
      <c r="E103" s="81">
        <v>0.03</v>
      </c>
      <c r="F103" s="81">
        <v>0.03</v>
      </c>
      <c r="G103" s="81">
        <v>3.3585155667532757E-2</v>
      </c>
      <c r="H103" s="82">
        <v>0.03</v>
      </c>
      <c r="I103" s="82">
        <v>0.03</v>
      </c>
      <c r="J103" s="16"/>
      <c r="K103" s="16"/>
      <c r="L103" s="16"/>
      <c r="M103" s="16"/>
    </row>
    <row r="104" spans="2:15" ht="17.5" x14ac:dyDescent="0.45">
      <c r="B104" s="33" t="s">
        <v>273</v>
      </c>
      <c r="C104" s="489">
        <v>0.1762</v>
      </c>
      <c r="D104" s="489">
        <v>0.1762</v>
      </c>
      <c r="E104" s="81">
        <v>0.18</v>
      </c>
      <c r="F104" s="81">
        <v>0.18</v>
      </c>
      <c r="G104" s="81">
        <v>0.28312831883897382</v>
      </c>
      <c r="H104" s="82">
        <v>0.26</v>
      </c>
      <c r="I104" s="82">
        <v>0.28000000000000003</v>
      </c>
      <c r="J104" s="16"/>
      <c r="K104" s="16"/>
      <c r="L104" s="16"/>
      <c r="M104" s="16"/>
    </row>
    <row r="105" spans="2:15" ht="18" thickBot="1" x14ac:dyDescent="0.5">
      <c r="B105" s="47" t="s">
        <v>274</v>
      </c>
      <c r="C105" s="490">
        <v>0</v>
      </c>
      <c r="D105" s="490">
        <v>0</v>
      </c>
      <c r="E105" s="83">
        <v>0</v>
      </c>
      <c r="F105" s="83">
        <v>0</v>
      </c>
      <c r="G105" s="83">
        <v>2.625027683005569E-2</v>
      </c>
      <c r="H105" s="84">
        <v>0.01</v>
      </c>
      <c r="I105" s="84">
        <v>0.02</v>
      </c>
      <c r="J105" s="16"/>
      <c r="K105" s="16"/>
      <c r="L105" s="16"/>
      <c r="M105" s="16"/>
    </row>
    <row r="106" spans="2:15" ht="17.5" x14ac:dyDescent="0.45">
      <c r="B106" s="30"/>
      <c r="C106" s="56"/>
      <c r="D106" s="31"/>
      <c r="E106" s="31"/>
      <c r="F106" s="31"/>
      <c r="G106" s="31"/>
      <c r="H106" s="31"/>
      <c r="I106" s="31"/>
      <c r="J106" s="31"/>
      <c r="K106" s="31"/>
      <c r="L106" s="16"/>
    </row>
    <row r="107" spans="2:15" s="25" customFormat="1" ht="25" x14ac:dyDescent="0.45">
      <c r="B107" s="188" t="s">
        <v>238</v>
      </c>
      <c r="C107" s="29"/>
      <c r="D107" s="27"/>
      <c r="E107" s="27"/>
      <c r="F107" s="27"/>
      <c r="G107" s="27"/>
      <c r="H107" s="27"/>
      <c r="I107" s="27"/>
      <c r="J107" s="27"/>
      <c r="K107" s="27"/>
      <c r="L107" s="40"/>
    </row>
    <row r="108" spans="2:15" s="13" customFormat="1" ht="7.15" customHeight="1" x14ac:dyDescent="0.45">
      <c r="B108" s="195"/>
      <c r="C108" s="195"/>
      <c r="D108" s="196"/>
      <c r="E108" s="196"/>
      <c r="F108" s="196"/>
      <c r="G108" s="196"/>
      <c r="H108" s="196"/>
      <c r="I108" s="196"/>
      <c r="J108" s="196"/>
      <c r="K108" s="196"/>
      <c r="L108" s="132"/>
    </row>
    <row r="109" spans="2:15" s="25" customFormat="1" ht="17.5" x14ac:dyDescent="0.45">
      <c r="B109" s="32" t="s">
        <v>240</v>
      </c>
      <c r="C109" s="32"/>
      <c r="D109" s="27"/>
      <c r="E109" s="27"/>
      <c r="F109" s="27"/>
      <c r="G109" s="27"/>
      <c r="H109" s="27"/>
      <c r="I109" s="27"/>
      <c r="J109" s="27"/>
      <c r="K109" s="27"/>
      <c r="L109" s="40"/>
    </row>
    <row r="110" spans="2:15" ht="6" customHeight="1" thickBot="1" x14ac:dyDescent="0.5">
      <c r="B110" s="30"/>
      <c r="C110" s="30"/>
      <c r="D110" s="31"/>
      <c r="E110" s="16"/>
      <c r="F110" s="31"/>
      <c r="G110" s="31"/>
      <c r="H110" s="31"/>
      <c r="I110" s="31"/>
      <c r="J110" s="31"/>
      <c r="K110" s="31"/>
      <c r="L110" s="16"/>
    </row>
    <row r="111" spans="2:15" ht="32" x14ac:dyDescent="0.45">
      <c r="B111" s="631" t="s">
        <v>275</v>
      </c>
      <c r="C111" s="631" t="s">
        <v>33</v>
      </c>
      <c r="D111" s="631" t="s">
        <v>34</v>
      </c>
      <c r="E111" s="631" t="s">
        <v>35</v>
      </c>
      <c r="F111" s="631" t="s">
        <v>36</v>
      </c>
      <c r="G111" s="631" t="s">
        <v>37</v>
      </c>
      <c r="H111" s="631" t="s">
        <v>275</v>
      </c>
      <c r="I111" s="631" t="s">
        <v>57</v>
      </c>
      <c r="J111" s="631" t="s">
        <v>39</v>
      </c>
      <c r="K111" s="31"/>
      <c r="L111" s="31"/>
      <c r="M111" s="31"/>
      <c r="N111" s="1"/>
      <c r="O111" s="1"/>
    </row>
    <row r="112" spans="2:15" ht="17.5" x14ac:dyDescent="0.45">
      <c r="B112" s="33" t="s">
        <v>50</v>
      </c>
      <c r="C112" s="561">
        <v>0</v>
      </c>
      <c r="D112" s="561">
        <v>0</v>
      </c>
      <c r="E112" s="561">
        <v>17444</v>
      </c>
      <c r="F112" s="87">
        <v>76356</v>
      </c>
      <c r="G112" s="87">
        <f>64016592/1000</f>
        <v>64016.591999999997</v>
      </c>
      <c r="H112" s="33" t="s">
        <v>276</v>
      </c>
      <c r="I112" s="34">
        <v>69388.687000000005</v>
      </c>
      <c r="J112" s="34">
        <v>58000</v>
      </c>
      <c r="K112" s="31"/>
      <c r="L112" s="512" t="s">
        <v>394</v>
      </c>
      <c r="M112" s="31"/>
      <c r="N112" s="1"/>
      <c r="O112" s="1"/>
    </row>
    <row r="113" spans="2:15" ht="17.5" x14ac:dyDescent="0.45">
      <c r="B113" s="33" t="s">
        <v>277</v>
      </c>
      <c r="C113" s="561">
        <v>26174.628000000001</v>
      </c>
      <c r="D113" s="561">
        <v>26174.628000000001</v>
      </c>
      <c r="E113" s="561">
        <v>5061</v>
      </c>
      <c r="F113" s="87">
        <v>5601</v>
      </c>
      <c r="G113" s="87">
        <f>23226623.58/1000+9449</f>
        <v>32675.623579999999</v>
      </c>
      <c r="H113" s="33" t="s">
        <v>278</v>
      </c>
      <c r="I113" s="34">
        <v>13686.870999999999</v>
      </c>
      <c r="J113" s="246"/>
      <c r="K113" s="31"/>
      <c r="L113" s="31"/>
      <c r="M113" s="31"/>
      <c r="N113" s="1"/>
      <c r="O113" s="1"/>
    </row>
    <row r="114" spans="2:15" ht="18" thickBot="1" x14ac:dyDescent="0.5">
      <c r="B114" s="35" t="s">
        <v>32</v>
      </c>
      <c r="C114" s="562">
        <f>SUM(C112:C113)</f>
        <v>26174.628000000001</v>
      </c>
      <c r="D114" s="562">
        <f>SUM(D112:D113)</f>
        <v>26174.628000000001</v>
      </c>
      <c r="E114" s="562">
        <f>E113+E112</f>
        <v>22505</v>
      </c>
      <c r="F114" s="88">
        <f>SUM(F112:F113)+1</f>
        <v>81958</v>
      </c>
      <c r="G114" s="88">
        <f>SUM(G112:G113)+1</f>
        <v>96693.215579999989</v>
      </c>
      <c r="H114" s="42" t="s">
        <v>279</v>
      </c>
      <c r="I114" s="75">
        <f>SUM(I112:I113)</f>
        <v>83075.558000000005</v>
      </c>
      <c r="J114" s="247">
        <v>58000</v>
      </c>
      <c r="K114" s="31"/>
      <c r="L114" s="31"/>
      <c r="M114" s="31"/>
      <c r="N114" s="1"/>
      <c r="O114" s="1"/>
    </row>
    <row r="115" spans="2:15" ht="17.5" x14ac:dyDescent="0.45">
      <c r="B115" s="85"/>
      <c r="G115" s="89"/>
      <c r="H115" s="33" t="s">
        <v>73</v>
      </c>
      <c r="I115" s="34">
        <v>10485.812</v>
      </c>
      <c r="J115" s="246"/>
      <c r="K115" s="31"/>
      <c r="L115" s="31"/>
      <c r="M115" s="31"/>
      <c r="N115" s="1"/>
      <c r="O115" s="1"/>
    </row>
    <row r="116" spans="2:15" ht="18" thickBot="1" x14ac:dyDescent="0.5">
      <c r="B116" s="16"/>
      <c r="G116" s="16"/>
      <c r="H116" s="35" t="s">
        <v>32</v>
      </c>
      <c r="I116" s="37">
        <v>93561.37</v>
      </c>
      <c r="J116" s="37">
        <v>58000</v>
      </c>
      <c r="K116" s="31"/>
      <c r="L116" s="31"/>
      <c r="M116" s="31"/>
      <c r="N116" s="1"/>
      <c r="O116" s="1"/>
    </row>
    <row r="117" spans="2:15" ht="17.5" x14ac:dyDescent="0.45">
      <c r="B117" s="58"/>
      <c r="C117" s="30"/>
      <c r="D117" s="31"/>
      <c r="E117" s="31"/>
      <c r="F117" s="31"/>
      <c r="G117" s="31"/>
      <c r="H117" s="31"/>
      <c r="I117" s="31"/>
      <c r="J117" s="31"/>
      <c r="K117" s="31"/>
      <c r="L117" s="16"/>
    </row>
    <row r="118" spans="2:15" s="25" customFormat="1" ht="25" x14ac:dyDescent="0.45">
      <c r="B118" s="188" t="s">
        <v>242</v>
      </c>
      <c r="C118" s="29"/>
      <c r="D118" s="27"/>
      <c r="E118" s="27"/>
      <c r="F118" s="27"/>
      <c r="G118" s="27"/>
      <c r="H118" s="27"/>
      <c r="I118" s="27"/>
      <c r="J118" s="27"/>
      <c r="K118" s="27"/>
      <c r="L118" s="40"/>
    </row>
    <row r="119" spans="2:15" ht="7.15" customHeight="1" x14ac:dyDescent="0.45">
      <c r="C119" s="57"/>
      <c r="D119" s="31"/>
      <c r="E119" s="31"/>
      <c r="F119" s="31"/>
      <c r="G119" s="31"/>
      <c r="H119" s="31"/>
      <c r="I119" s="31"/>
      <c r="J119" s="31"/>
      <c r="K119" s="31"/>
      <c r="L119" s="16"/>
    </row>
    <row r="120" spans="2:15" s="25" customFormat="1" ht="17.5" x14ac:dyDescent="0.45">
      <c r="B120" s="32" t="s">
        <v>244</v>
      </c>
      <c r="C120" s="32"/>
      <c r="D120" s="27"/>
      <c r="E120" s="27"/>
      <c r="F120" s="27"/>
      <c r="G120" s="27"/>
      <c r="H120" s="27"/>
      <c r="I120" s="27"/>
      <c r="J120" s="27"/>
      <c r="K120" s="27"/>
      <c r="L120" s="40"/>
    </row>
    <row r="121" spans="2:15" ht="6" customHeight="1" thickBot="1" x14ac:dyDescent="0.5">
      <c r="B121" s="30"/>
      <c r="C121" s="30"/>
      <c r="D121" s="31"/>
      <c r="E121" s="16"/>
      <c r="F121" s="31"/>
      <c r="G121" s="31"/>
      <c r="H121" s="31"/>
      <c r="I121" s="31"/>
      <c r="J121" s="31"/>
      <c r="K121" s="31"/>
      <c r="L121" s="16"/>
    </row>
    <row r="122" spans="2:15" ht="32" x14ac:dyDescent="0.45">
      <c r="B122" s="631" t="s">
        <v>275</v>
      </c>
      <c r="C122" s="631" t="s">
        <v>33</v>
      </c>
      <c r="D122" s="631" t="s">
        <v>34</v>
      </c>
      <c r="E122" s="631" t="s">
        <v>35</v>
      </c>
      <c r="F122" s="631" t="s">
        <v>36</v>
      </c>
      <c r="G122" s="631" t="s">
        <v>37</v>
      </c>
      <c r="H122" s="631" t="s">
        <v>275</v>
      </c>
      <c r="I122" s="631" t="s">
        <v>57</v>
      </c>
      <c r="J122" s="631" t="s">
        <v>39</v>
      </c>
      <c r="K122" s="31"/>
      <c r="L122" s="31"/>
      <c r="M122" s="31"/>
      <c r="N122" s="1"/>
      <c r="O122" s="1"/>
    </row>
    <row r="123" spans="2:15" ht="17.5" x14ac:dyDescent="0.45">
      <c r="B123" s="33" t="s">
        <v>50</v>
      </c>
      <c r="C123" s="563">
        <v>245460</v>
      </c>
      <c r="D123" s="563">
        <v>3132984</v>
      </c>
      <c r="E123" s="563">
        <v>307478</v>
      </c>
      <c r="F123" s="491">
        <v>5163127.9486666657</v>
      </c>
      <c r="G123" s="77">
        <v>4251301</v>
      </c>
      <c r="H123" s="33" t="s">
        <v>276</v>
      </c>
      <c r="I123" s="34">
        <v>2429480</v>
      </c>
      <c r="J123" s="246"/>
      <c r="K123" s="31"/>
      <c r="L123" s="31"/>
      <c r="M123" s="31"/>
      <c r="N123" s="1"/>
      <c r="O123" s="1"/>
    </row>
    <row r="124" spans="2:15" ht="17.5" x14ac:dyDescent="0.45">
      <c r="B124" s="33" t="s">
        <v>277</v>
      </c>
      <c r="C124" s="563">
        <v>136732</v>
      </c>
      <c r="D124" s="563">
        <v>116529</v>
      </c>
      <c r="E124" s="563">
        <f>F124</f>
        <v>102122</v>
      </c>
      <c r="F124" s="491">
        <v>102122</v>
      </c>
      <c r="G124" s="77">
        <f>364196+55573</f>
        <v>419769</v>
      </c>
      <c r="H124" s="33" t="s">
        <v>278</v>
      </c>
      <c r="I124" s="34">
        <v>585851</v>
      </c>
      <c r="J124" s="246"/>
      <c r="K124" s="31"/>
      <c r="L124" s="31"/>
      <c r="M124" s="31"/>
      <c r="N124" s="1"/>
      <c r="O124" s="1"/>
    </row>
    <row r="125" spans="2:15" ht="18" thickBot="1" x14ac:dyDescent="0.5">
      <c r="B125" s="35" t="s">
        <v>32</v>
      </c>
      <c r="C125" s="492">
        <f>C123+C124</f>
        <v>382192</v>
      </c>
      <c r="D125" s="492">
        <f>D123+D124</f>
        <v>3249513</v>
      </c>
      <c r="E125" s="564">
        <f>E124+E123</f>
        <v>409600</v>
      </c>
      <c r="F125" s="492">
        <v>5265249.9486666657</v>
      </c>
      <c r="G125" s="90">
        <f>SUM(G123:G124)</f>
        <v>4671070</v>
      </c>
      <c r="H125" s="42" t="s">
        <v>279</v>
      </c>
      <c r="I125" s="75">
        <f>SUM(I123:I124)</f>
        <v>3015331</v>
      </c>
      <c r="J125" s="247">
        <v>3000000</v>
      </c>
      <c r="K125" s="31"/>
      <c r="L125" s="31"/>
      <c r="M125" s="31"/>
      <c r="N125" s="1"/>
      <c r="O125" s="1"/>
    </row>
    <row r="126" spans="2:15" ht="17.5" x14ac:dyDescent="0.45">
      <c r="B126" s="85"/>
      <c r="G126" s="73"/>
      <c r="H126" s="33" t="s">
        <v>73</v>
      </c>
      <c r="I126" s="34">
        <v>42630</v>
      </c>
      <c r="J126" s="246"/>
      <c r="K126" s="31"/>
      <c r="L126" s="31"/>
      <c r="M126" s="31"/>
      <c r="N126" s="1"/>
      <c r="O126" s="1"/>
    </row>
    <row r="127" spans="2:15" ht="18" thickBot="1" x14ac:dyDescent="0.5">
      <c r="B127" s="16"/>
      <c r="G127" s="16"/>
      <c r="H127" s="35" t="s">
        <v>32</v>
      </c>
      <c r="I127" s="36">
        <v>3057961</v>
      </c>
      <c r="J127" s="37">
        <v>3000000</v>
      </c>
      <c r="K127" s="31"/>
      <c r="L127" s="31"/>
      <c r="M127" s="31"/>
      <c r="N127" s="1"/>
      <c r="O127" s="1"/>
    </row>
    <row r="128" spans="2:15" ht="17.5" x14ac:dyDescent="0.45">
      <c r="B128" s="30"/>
      <c r="C128" s="30"/>
      <c r="D128" s="31"/>
      <c r="E128" s="31"/>
      <c r="F128" s="31"/>
      <c r="G128" s="31"/>
      <c r="H128" s="31"/>
      <c r="I128" s="31"/>
      <c r="J128" s="31"/>
      <c r="K128" s="31"/>
      <c r="L128" s="16"/>
    </row>
    <row r="129" spans="2:15" s="25" customFormat="1" ht="25" x14ac:dyDescent="0.45">
      <c r="B129" s="188" t="s">
        <v>246</v>
      </c>
      <c r="C129" s="29"/>
      <c r="D129" s="27"/>
      <c r="E129" s="27"/>
      <c r="F129" s="27"/>
      <c r="G129" s="27"/>
      <c r="H129" s="27"/>
      <c r="I129" s="27"/>
      <c r="J129" s="27"/>
      <c r="K129" s="40"/>
      <c r="L129" s="40"/>
    </row>
    <row r="130" spans="2:15" ht="6" customHeight="1" x14ac:dyDescent="0.45">
      <c r="C130" s="57"/>
      <c r="D130" s="31"/>
      <c r="E130" s="31"/>
      <c r="F130" s="31"/>
      <c r="G130" s="31"/>
      <c r="H130" s="31"/>
      <c r="I130" s="31"/>
      <c r="J130" s="31"/>
      <c r="K130" s="16"/>
      <c r="L130" s="16"/>
    </row>
    <row r="131" spans="2:15" s="25" customFormat="1" ht="17.5" x14ac:dyDescent="0.45">
      <c r="B131" s="32" t="s">
        <v>280</v>
      </c>
      <c r="C131" s="32"/>
      <c r="D131" s="27"/>
      <c r="E131" s="27"/>
      <c r="F131" s="27"/>
      <c r="G131" s="27"/>
      <c r="H131" s="27"/>
      <c r="I131" s="27"/>
      <c r="J131" s="27"/>
      <c r="K131" s="27"/>
      <c r="L131" s="40"/>
    </row>
    <row r="132" spans="2:15" ht="6" customHeight="1" thickBot="1" x14ac:dyDescent="0.5">
      <c r="B132" s="30"/>
      <c r="C132" s="30"/>
      <c r="D132" s="31"/>
      <c r="E132" s="16"/>
      <c r="F132" s="31"/>
      <c r="G132" s="31"/>
      <c r="H132" s="31"/>
      <c r="I132" s="31"/>
      <c r="J132" s="31"/>
      <c r="K132" s="31"/>
      <c r="L132" s="16"/>
    </row>
    <row r="133" spans="2:15" ht="32" x14ac:dyDescent="0.45">
      <c r="B133" s="631" t="s">
        <v>275</v>
      </c>
      <c r="C133" s="631" t="s">
        <v>33</v>
      </c>
      <c r="D133" s="631" t="s">
        <v>34</v>
      </c>
      <c r="E133" s="631" t="s">
        <v>35</v>
      </c>
      <c r="F133" s="631" t="s">
        <v>36</v>
      </c>
      <c r="G133" s="631" t="s">
        <v>37</v>
      </c>
      <c r="H133" s="631" t="s">
        <v>275</v>
      </c>
      <c r="I133" s="631" t="s">
        <v>57</v>
      </c>
      <c r="J133" s="631" t="s">
        <v>39</v>
      </c>
      <c r="K133" s="16"/>
      <c r="L133" s="16"/>
      <c r="M133" s="16"/>
    </row>
    <row r="134" spans="2:15" ht="17.5" x14ac:dyDescent="0.45">
      <c r="B134" s="33" t="s">
        <v>277</v>
      </c>
      <c r="C134" s="637">
        <v>154.363721</v>
      </c>
      <c r="D134" s="637">
        <f>C134</f>
        <v>154.363721</v>
      </c>
      <c r="E134" s="565">
        <v>163.18</v>
      </c>
      <c r="F134" s="86">
        <v>163.18</v>
      </c>
      <c r="G134" s="91">
        <f>229604022/1000000</f>
        <v>229.60402199999999</v>
      </c>
      <c r="H134" s="33" t="s">
        <v>277</v>
      </c>
      <c r="I134" s="91">
        <v>211</v>
      </c>
      <c r="J134" s="75">
        <v>155.58000000000001</v>
      </c>
      <c r="K134" s="31"/>
      <c r="L134" s="16"/>
      <c r="M134" s="16"/>
      <c r="N134" s="1"/>
      <c r="O134" s="1"/>
    </row>
    <row r="135" spans="2:15" ht="17.5" x14ac:dyDescent="0.45">
      <c r="B135" s="33" t="s">
        <v>50</v>
      </c>
      <c r="C135" s="637">
        <v>24.029999</v>
      </c>
      <c r="D135" s="637">
        <f>C135+209.494551</f>
        <v>233.52455</v>
      </c>
      <c r="E135" s="637">
        <v>23.397998999999999</v>
      </c>
      <c r="F135" s="86">
        <v>251.71</v>
      </c>
      <c r="G135" s="91">
        <f>280001859.701942/1000000</f>
        <v>280.00185970194201</v>
      </c>
      <c r="H135" s="33" t="s">
        <v>50</v>
      </c>
      <c r="I135" s="91">
        <v>400.61</v>
      </c>
      <c r="J135" s="75">
        <v>369.78</v>
      </c>
      <c r="K135" s="31"/>
      <c r="L135" s="16"/>
      <c r="M135" s="16"/>
      <c r="N135" s="1"/>
    </row>
    <row r="136" spans="2:15" ht="17.5" x14ac:dyDescent="0.45">
      <c r="B136" s="33" t="s">
        <v>72</v>
      </c>
      <c r="C136" s="637">
        <v>0.65482099999999999</v>
      </c>
      <c r="D136" s="637">
        <f>C136</f>
        <v>0.65482099999999999</v>
      </c>
      <c r="E136" s="565">
        <v>0.65</v>
      </c>
      <c r="F136" s="86">
        <v>0.65</v>
      </c>
      <c r="G136" s="91">
        <v>0.65</v>
      </c>
      <c r="H136" s="33" t="s">
        <v>73</v>
      </c>
      <c r="I136" s="91">
        <v>12.39</v>
      </c>
      <c r="J136" s="75">
        <v>20.3</v>
      </c>
      <c r="K136" s="31"/>
      <c r="M136" s="16"/>
      <c r="N136" s="1"/>
    </row>
    <row r="137" spans="2:15" ht="18" thickBot="1" x14ac:dyDescent="0.5">
      <c r="B137" s="35" t="s">
        <v>260</v>
      </c>
      <c r="C137" s="165">
        <f>SUM(C134:C136)</f>
        <v>179.048541</v>
      </c>
      <c r="D137" s="165">
        <f>SUM(D134:D136)</f>
        <v>388.54309200000006</v>
      </c>
      <c r="E137" s="566">
        <f>SUM(E134:E136)</f>
        <v>187.22799900000001</v>
      </c>
      <c r="F137" s="165">
        <v>415.54</v>
      </c>
      <c r="G137" s="36">
        <f>SUM(G134:G136)</f>
        <v>510.25588170194197</v>
      </c>
      <c r="H137" s="33" t="s">
        <v>72</v>
      </c>
      <c r="I137" s="91">
        <v>0.65</v>
      </c>
      <c r="J137" s="75" t="s">
        <v>53</v>
      </c>
      <c r="K137" s="31"/>
      <c r="L137" s="16"/>
      <c r="M137" s="16"/>
    </row>
    <row r="138" spans="2:15" ht="18" thickBot="1" x14ac:dyDescent="0.5">
      <c r="B138" s="94"/>
      <c r="F138" s="95"/>
      <c r="G138" s="96"/>
      <c r="H138" s="35" t="s">
        <v>260</v>
      </c>
      <c r="I138" s="93">
        <v>624.65</v>
      </c>
      <c r="J138" s="410" t="s">
        <v>281</v>
      </c>
      <c r="K138" s="31"/>
      <c r="L138" s="16"/>
      <c r="M138" s="16"/>
    </row>
    <row r="139" spans="2:15" ht="17.5" x14ac:dyDescent="0.45">
      <c r="B139" s="30"/>
      <c r="C139" s="30"/>
      <c r="E139" s="16"/>
      <c r="F139" s="31"/>
      <c r="G139" s="31"/>
      <c r="H139" s="31"/>
      <c r="I139" s="31"/>
      <c r="J139" s="31"/>
      <c r="K139" s="16"/>
      <c r="L139" s="16"/>
    </row>
    <row r="140" spans="2:15" s="25" customFormat="1" ht="17.5" x14ac:dyDescent="0.45">
      <c r="B140" s="32" t="s">
        <v>250</v>
      </c>
      <c r="C140" s="32"/>
      <c r="D140" s="27"/>
      <c r="E140" s="27"/>
      <c r="F140" s="27"/>
      <c r="G140" s="27"/>
      <c r="H140" s="27"/>
      <c r="I140" s="27"/>
      <c r="J140" s="27"/>
      <c r="K140" s="27"/>
      <c r="L140" s="40"/>
    </row>
    <row r="141" spans="2:15" ht="6" customHeight="1" thickBot="1" x14ac:dyDescent="0.5">
      <c r="B141" s="30"/>
      <c r="C141" s="30"/>
      <c r="D141" s="31"/>
      <c r="E141" s="16"/>
      <c r="F141" s="31"/>
      <c r="G141" s="31"/>
      <c r="H141" s="31"/>
      <c r="I141" s="31"/>
      <c r="J141" s="31"/>
      <c r="K141" s="31"/>
      <c r="L141" s="16"/>
    </row>
    <row r="142" spans="2:15" ht="32" x14ac:dyDescent="0.45">
      <c r="B142" s="633" t="s">
        <v>275</v>
      </c>
      <c r="C142" s="631" t="s">
        <v>33</v>
      </c>
      <c r="D142" s="631" t="s">
        <v>34</v>
      </c>
      <c r="E142" s="631" t="s">
        <v>35</v>
      </c>
      <c r="F142" s="633" t="s">
        <v>36</v>
      </c>
      <c r="G142" s="633" t="s">
        <v>37</v>
      </c>
      <c r="H142" s="633" t="s">
        <v>275</v>
      </c>
      <c r="I142" s="633" t="s">
        <v>57</v>
      </c>
      <c r="J142" s="633" t="s">
        <v>39</v>
      </c>
      <c r="K142" s="16"/>
      <c r="L142" s="16"/>
      <c r="M142" s="16"/>
    </row>
    <row r="143" spans="2:15" ht="17.5" x14ac:dyDescent="0.45">
      <c r="B143" s="33" t="s">
        <v>277</v>
      </c>
      <c r="C143" s="403">
        <v>0.74146699999999999</v>
      </c>
      <c r="D143" s="403">
        <f>C143</f>
        <v>0.74146699999999999</v>
      </c>
      <c r="E143" s="403">
        <v>1.25</v>
      </c>
      <c r="F143" s="91">
        <v>1.25</v>
      </c>
      <c r="G143" s="91">
        <f>2992369.39/1000000</f>
        <v>2.9923693900000004</v>
      </c>
      <c r="H143" s="33" t="s">
        <v>277</v>
      </c>
      <c r="I143" s="91">
        <v>2.87</v>
      </c>
      <c r="J143" s="91">
        <v>0.89</v>
      </c>
      <c r="K143" s="31"/>
      <c r="L143" s="16"/>
      <c r="M143" s="16"/>
      <c r="N143" s="1"/>
    </row>
    <row r="144" spans="2:15" ht="17.5" x14ac:dyDescent="0.45">
      <c r="B144" s="33" t="s">
        <v>50</v>
      </c>
      <c r="C144" s="403">
        <v>0.48</v>
      </c>
      <c r="D144" s="403">
        <f>C144+10.241301</f>
        <v>10.721301</v>
      </c>
      <c r="E144" s="403">
        <v>0.48</v>
      </c>
      <c r="F144" s="91">
        <v>10.88</v>
      </c>
      <c r="G144" s="91">
        <f>6881980/1000000</f>
        <v>6.8819800000000004</v>
      </c>
      <c r="H144" s="33" t="s">
        <v>50</v>
      </c>
      <c r="I144" s="91">
        <v>8.9499999999999993</v>
      </c>
      <c r="J144" s="91">
        <v>8.2899999999999991</v>
      </c>
      <c r="K144" s="31"/>
      <c r="L144" s="16"/>
      <c r="M144" s="16"/>
      <c r="N144" s="1"/>
    </row>
    <row r="145" spans="2:15" ht="17.5" x14ac:dyDescent="0.45">
      <c r="B145" s="33" t="s">
        <v>72</v>
      </c>
      <c r="C145" s="403">
        <v>0.28390599999999999</v>
      </c>
      <c r="D145" s="403">
        <f>C145</f>
        <v>0.28390599999999999</v>
      </c>
      <c r="E145" s="403">
        <v>0</v>
      </c>
      <c r="F145" s="91">
        <v>0</v>
      </c>
      <c r="G145" s="91">
        <f>283905.75/1000000</f>
        <v>0.28390575000000001</v>
      </c>
      <c r="H145" s="33" t="s">
        <v>73</v>
      </c>
      <c r="I145" s="91">
        <v>0.46</v>
      </c>
      <c r="J145" s="91">
        <v>5.76</v>
      </c>
      <c r="K145" s="31"/>
      <c r="L145" s="16"/>
      <c r="M145" s="16"/>
      <c r="N145" s="1"/>
    </row>
    <row r="146" spans="2:15" ht="18" thickBot="1" x14ac:dyDescent="0.5">
      <c r="B146" s="35" t="s">
        <v>260</v>
      </c>
      <c r="C146" s="567">
        <f>SUM(C143:C145)</f>
        <v>1.5053730000000001</v>
      </c>
      <c r="D146" s="100">
        <f>SUM(D143:D145)</f>
        <v>11.746674000000001</v>
      </c>
      <c r="E146" s="567">
        <v>1.25</v>
      </c>
      <c r="F146" s="100">
        <v>12.13</v>
      </c>
      <c r="G146" s="100">
        <f>SUM(G143:G145)</f>
        <v>10.158255140000001</v>
      </c>
      <c r="H146" s="33" t="s">
        <v>72</v>
      </c>
      <c r="I146" s="91">
        <v>0.28000000000000003</v>
      </c>
      <c r="J146" s="91">
        <v>0.27</v>
      </c>
      <c r="K146" s="31"/>
      <c r="L146" s="16"/>
      <c r="M146" s="16"/>
      <c r="N146" s="1"/>
      <c r="O146" s="1"/>
    </row>
    <row r="147" spans="2:15" ht="18" thickBot="1" x14ac:dyDescent="0.5">
      <c r="B147" s="94"/>
      <c r="F147" s="95"/>
      <c r="G147" s="96"/>
      <c r="H147" s="35" t="s">
        <v>260</v>
      </c>
      <c r="I147" s="93">
        <v>12.56</v>
      </c>
      <c r="J147" s="93">
        <v>15.2</v>
      </c>
      <c r="K147" s="31"/>
      <c r="L147" s="16"/>
      <c r="M147" s="16"/>
      <c r="N147" s="1"/>
      <c r="O147" s="1"/>
    </row>
    <row r="148" spans="2:15" ht="17.5" x14ac:dyDescent="0.45">
      <c r="B148" s="30"/>
      <c r="C148" s="30"/>
      <c r="D148" s="31"/>
      <c r="E148" s="31"/>
      <c r="F148" s="31"/>
      <c r="G148" s="31"/>
      <c r="H148" s="31"/>
      <c r="I148" s="31"/>
      <c r="J148" s="31"/>
      <c r="K148" s="31"/>
      <c r="L148" s="31"/>
    </row>
    <row r="149" spans="2:15" s="25" customFormat="1" ht="17.5" x14ac:dyDescent="0.45">
      <c r="B149" s="32" t="s">
        <v>252</v>
      </c>
      <c r="C149" s="32"/>
      <c r="D149" s="27"/>
      <c r="E149" s="27"/>
      <c r="F149" s="27"/>
      <c r="G149" s="27"/>
      <c r="H149" s="27"/>
      <c r="I149" s="27"/>
      <c r="J149" s="27"/>
      <c r="K149" s="27"/>
      <c r="L149" s="40"/>
    </row>
    <row r="150" spans="2:15" ht="6" customHeight="1" thickBot="1" x14ac:dyDescent="0.5">
      <c r="B150" s="30"/>
      <c r="C150" s="30"/>
      <c r="D150" s="31"/>
      <c r="E150" s="16"/>
      <c r="F150" s="31"/>
      <c r="G150" s="31"/>
      <c r="H150" s="31"/>
      <c r="I150" s="31"/>
      <c r="J150" s="31"/>
      <c r="K150" s="31"/>
      <c r="L150" s="16"/>
    </row>
    <row r="151" spans="2:15" ht="32" x14ac:dyDescent="0.45">
      <c r="B151" s="633" t="s">
        <v>275</v>
      </c>
      <c r="C151" s="631" t="s">
        <v>33</v>
      </c>
      <c r="D151" s="631" t="s">
        <v>34</v>
      </c>
      <c r="E151" s="631" t="s">
        <v>35</v>
      </c>
      <c r="F151" s="633" t="s">
        <v>36</v>
      </c>
      <c r="G151" s="633" t="s">
        <v>37</v>
      </c>
      <c r="H151" s="633" t="s">
        <v>275</v>
      </c>
      <c r="I151" s="633" t="s">
        <v>57</v>
      </c>
      <c r="J151" s="633" t="s">
        <v>39</v>
      </c>
      <c r="K151" s="31"/>
      <c r="L151" s="31"/>
      <c r="M151" s="31"/>
      <c r="N151" s="1"/>
    </row>
    <row r="152" spans="2:15" ht="17.5" x14ac:dyDescent="0.45">
      <c r="B152" s="33" t="s">
        <v>277</v>
      </c>
      <c r="C152" s="568">
        <v>443.87770999999998</v>
      </c>
      <c r="D152" s="568">
        <v>443.87770999999998</v>
      </c>
      <c r="E152" s="568">
        <v>97.3</v>
      </c>
      <c r="F152" s="97">
        <v>97.3</v>
      </c>
      <c r="G152" s="97">
        <f>91639466.9428571/1000000</f>
        <v>91.639466942857098</v>
      </c>
      <c r="H152" s="33" t="s">
        <v>277</v>
      </c>
      <c r="I152" s="99">
        <v>80.77</v>
      </c>
      <c r="J152" s="99">
        <v>118.21</v>
      </c>
      <c r="K152" s="59"/>
      <c r="L152" s="31"/>
      <c r="M152" s="31"/>
      <c r="N152" s="1"/>
    </row>
    <row r="153" spans="2:15" ht="17.5" x14ac:dyDescent="0.45">
      <c r="B153" s="33" t="s">
        <v>50</v>
      </c>
      <c r="C153" s="568">
        <v>0</v>
      </c>
      <c r="D153" s="568">
        <v>31.711199799999999</v>
      </c>
      <c r="E153" s="568">
        <v>0</v>
      </c>
      <c r="F153" s="97">
        <v>29</v>
      </c>
      <c r="G153" s="97">
        <f>25003026.9427113/1000000</f>
        <v>25.003026942711301</v>
      </c>
      <c r="H153" s="33" t="s">
        <v>50</v>
      </c>
      <c r="I153" s="99">
        <v>58.84</v>
      </c>
      <c r="J153" s="99">
        <v>72.510000000000005</v>
      </c>
      <c r="K153" s="31"/>
      <c r="L153" s="31"/>
      <c r="M153" s="31"/>
      <c r="N153" s="1"/>
    </row>
    <row r="154" spans="2:15" ht="18" thickBot="1" x14ac:dyDescent="0.5">
      <c r="B154" s="35" t="s">
        <v>260</v>
      </c>
      <c r="C154" s="98">
        <f>SUM(C152:C153)</f>
        <v>443.87770999999998</v>
      </c>
      <c r="D154" s="98">
        <f>SUM(D152:D153)</f>
        <v>475.58890979999995</v>
      </c>
      <c r="E154" s="569">
        <v>97.3</v>
      </c>
      <c r="F154" s="98">
        <v>126.2</v>
      </c>
      <c r="G154" s="98">
        <f>SUM(G152:G153)</f>
        <v>116.6424938855684</v>
      </c>
      <c r="H154" s="33" t="s">
        <v>73</v>
      </c>
      <c r="I154" s="99">
        <v>3.26</v>
      </c>
      <c r="J154" s="99">
        <v>3.86</v>
      </c>
      <c r="K154" s="31"/>
      <c r="L154" s="31"/>
      <c r="M154" s="31"/>
      <c r="N154" s="1"/>
    </row>
    <row r="155" spans="2:15" ht="18" thickBot="1" x14ac:dyDescent="0.5">
      <c r="B155" s="16"/>
      <c r="G155" s="16"/>
      <c r="H155" s="35" t="s">
        <v>260</v>
      </c>
      <c r="I155" s="100">
        <v>142.87</v>
      </c>
      <c r="J155" s="93">
        <v>194.58</v>
      </c>
      <c r="K155" s="31"/>
      <c r="L155" s="31"/>
      <c r="M155" s="31"/>
      <c r="N155" s="1"/>
    </row>
    <row r="156" spans="2:15" ht="17.5" x14ac:dyDescent="0.45">
      <c r="B156" s="16"/>
      <c r="C156" s="16"/>
      <c r="D156" s="30"/>
      <c r="E156" s="60"/>
      <c r="F156" s="61"/>
      <c r="G156" s="31"/>
      <c r="H156" s="31"/>
      <c r="I156" s="31"/>
      <c r="J156" s="31"/>
      <c r="K156" s="31"/>
      <c r="L156" s="31"/>
      <c r="M156" s="1"/>
    </row>
    <row r="157" spans="2:15" s="25" customFormat="1" ht="17.5" x14ac:dyDescent="0.45">
      <c r="B157" s="32" t="s">
        <v>254</v>
      </c>
      <c r="C157" s="32"/>
      <c r="D157" s="27"/>
      <c r="E157" s="27"/>
      <c r="F157" s="27"/>
      <c r="G157" s="27"/>
      <c r="H157" s="27"/>
      <c r="I157" s="27"/>
      <c r="J157" s="27"/>
      <c r="K157" s="27"/>
      <c r="L157" s="40"/>
    </row>
    <row r="158" spans="2:15" ht="6" customHeight="1" thickBot="1" x14ac:dyDescent="0.5">
      <c r="B158" s="30"/>
      <c r="C158" s="30"/>
      <c r="D158" s="31"/>
      <c r="E158" s="16"/>
      <c r="F158" s="31"/>
      <c r="G158" s="31"/>
      <c r="H158" s="31"/>
      <c r="I158" s="31"/>
      <c r="J158" s="31"/>
      <c r="K158" s="31"/>
      <c r="L158" s="16"/>
    </row>
    <row r="159" spans="2:15" ht="32" x14ac:dyDescent="0.45">
      <c r="B159" s="631" t="s">
        <v>275</v>
      </c>
      <c r="C159" s="631" t="s">
        <v>33</v>
      </c>
      <c r="D159" s="631" t="s">
        <v>34</v>
      </c>
      <c r="E159" s="631" t="s">
        <v>35</v>
      </c>
      <c r="F159" s="631" t="s">
        <v>36</v>
      </c>
      <c r="G159" s="631" t="s">
        <v>37</v>
      </c>
      <c r="H159" s="629" t="s">
        <v>275</v>
      </c>
      <c r="I159" s="249" t="s">
        <v>57</v>
      </c>
      <c r="J159" s="31"/>
      <c r="K159" s="31"/>
      <c r="L159" s="31"/>
      <c r="M159" s="31"/>
    </row>
    <row r="160" spans="2:15" ht="17.5" x14ac:dyDescent="0.45">
      <c r="B160" s="33" t="s">
        <v>277</v>
      </c>
      <c r="C160" s="570">
        <v>6.7000000000000002E-4</v>
      </c>
      <c r="D160" s="570">
        <v>6.7000000000000002E-4</v>
      </c>
      <c r="E160" s="570">
        <v>2E-3</v>
      </c>
      <c r="F160" s="168">
        <v>2E-3</v>
      </c>
      <c r="G160" s="97">
        <f>29810/1000000</f>
        <v>2.981E-2</v>
      </c>
      <c r="H160" s="572" t="s">
        <v>277</v>
      </c>
      <c r="I160" s="574">
        <v>0.04</v>
      </c>
      <c r="J160" s="31"/>
      <c r="K160" s="31"/>
      <c r="L160" s="31"/>
      <c r="M160" s="31"/>
    </row>
    <row r="161" spans="2:14" ht="17.5" x14ac:dyDescent="0.45">
      <c r="B161" s="33" t="s">
        <v>50</v>
      </c>
      <c r="C161" s="570">
        <v>0</v>
      </c>
      <c r="D161" s="570">
        <v>0</v>
      </c>
      <c r="E161" s="570">
        <v>0</v>
      </c>
      <c r="F161" s="168" t="s">
        <v>53</v>
      </c>
      <c r="G161" s="97"/>
      <c r="H161" s="572" t="s">
        <v>50</v>
      </c>
      <c r="I161" s="575" t="s">
        <v>53</v>
      </c>
      <c r="J161" s="31"/>
      <c r="K161" s="31"/>
      <c r="L161" s="31"/>
      <c r="M161" s="31"/>
    </row>
    <row r="162" spans="2:14" ht="18" thickBot="1" x14ac:dyDescent="0.5">
      <c r="B162" s="35" t="s">
        <v>260</v>
      </c>
      <c r="C162" s="169">
        <f>SUM(C160:C161)</f>
        <v>6.7000000000000002E-4</v>
      </c>
      <c r="D162" s="169">
        <f>SUM(D160:D161)</f>
        <v>6.7000000000000002E-4</v>
      </c>
      <c r="E162" s="571">
        <f>E160</f>
        <v>2E-3</v>
      </c>
      <c r="F162" s="169">
        <f>SUM(F160:F161)</f>
        <v>2E-3</v>
      </c>
      <c r="G162" s="98">
        <f>SUM(G160:G161)</f>
        <v>2.981E-2</v>
      </c>
      <c r="H162" s="572" t="s">
        <v>73</v>
      </c>
      <c r="I162" s="575" t="s">
        <v>53</v>
      </c>
      <c r="J162" s="31"/>
      <c r="K162" s="31"/>
      <c r="L162" s="31"/>
      <c r="M162" s="31"/>
    </row>
    <row r="163" spans="2:14" ht="18" thickBot="1" x14ac:dyDescent="0.5">
      <c r="B163" s="16"/>
      <c r="F163" s="16"/>
      <c r="G163" s="35" t="s">
        <v>260</v>
      </c>
      <c r="H163" s="573">
        <v>0.04</v>
      </c>
      <c r="I163" s="576"/>
      <c r="J163" s="31"/>
      <c r="K163" s="31"/>
      <c r="L163" s="31"/>
    </row>
    <row r="164" spans="2:14" ht="17.5" x14ac:dyDescent="0.45">
      <c r="B164" s="16"/>
      <c r="C164" s="16"/>
      <c r="D164" s="31"/>
      <c r="E164" s="31"/>
      <c r="F164" s="31"/>
      <c r="G164" s="31"/>
      <c r="H164" s="31"/>
      <c r="I164" s="31"/>
      <c r="J164" s="31"/>
      <c r="K164" s="31"/>
      <c r="L164" s="31"/>
      <c r="M164" s="1"/>
    </row>
    <row r="165" spans="2:14" s="25" customFormat="1" ht="21" x14ac:dyDescent="0.45">
      <c r="B165" s="187" t="s">
        <v>229</v>
      </c>
      <c r="C165" s="187"/>
      <c r="D165" s="27"/>
      <c r="E165" s="27"/>
      <c r="F165" s="27"/>
      <c r="G165" s="27"/>
      <c r="H165" s="27"/>
      <c r="I165" s="27"/>
      <c r="J165" s="27"/>
      <c r="K165" s="40"/>
      <c r="L165" s="40"/>
    </row>
    <row r="166" spans="2:14" ht="6" customHeight="1" x14ac:dyDescent="0.45">
      <c r="B166" s="30"/>
      <c r="C166" s="30"/>
      <c r="D166" s="31"/>
      <c r="E166" s="31"/>
      <c r="F166" s="31"/>
      <c r="G166" s="31"/>
      <c r="H166" s="31"/>
      <c r="I166" s="31"/>
      <c r="J166" s="31"/>
      <c r="K166" s="16"/>
      <c r="L166" s="16"/>
    </row>
    <row r="167" spans="2:14" s="25" customFormat="1" ht="17.5" x14ac:dyDescent="0.45">
      <c r="B167" s="32" t="s">
        <v>282</v>
      </c>
      <c r="C167" s="32"/>
      <c r="D167" s="27"/>
      <c r="E167" s="27"/>
      <c r="F167" s="27"/>
      <c r="G167" s="27"/>
      <c r="H167" s="27"/>
      <c r="I167" s="27"/>
      <c r="J167" s="27"/>
      <c r="K167" s="27"/>
      <c r="L167" s="40"/>
    </row>
    <row r="168" spans="2:14" ht="6" customHeight="1" thickBot="1" x14ac:dyDescent="0.5">
      <c r="B168" s="30"/>
      <c r="C168" s="30"/>
      <c r="D168" s="31"/>
      <c r="E168" s="16"/>
      <c r="F168" s="31"/>
      <c r="G168" s="31"/>
      <c r="H168" s="31"/>
      <c r="I168" s="31"/>
      <c r="J168" s="31"/>
      <c r="K168" s="31"/>
      <c r="L168" s="16"/>
    </row>
    <row r="169" spans="2:14" ht="39" x14ac:dyDescent="0.45">
      <c r="B169" s="633" t="s">
        <v>275</v>
      </c>
      <c r="C169" s="631" t="s">
        <v>33</v>
      </c>
      <c r="D169" s="629" t="s">
        <v>34</v>
      </c>
      <c r="E169" s="249" t="s">
        <v>35</v>
      </c>
      <c r="F169" s="248" t="s">
        <v>283</v>
      </c>
      <c r="G169" s="248" t="s">
        <v>37</v>
      </c>
      <c r="H169" s="633" t="s">
        <v>275</v>
      </c>
      <c r="I169" s="248" t="s">
        <v>57</v>
      </c>
      <c r="J169" s="248" t="s">
        <v>284</v>
      </c>
      <c r="K169" s="248" t="s">
        <v>285</v>
      </c>
      <c r="L169" s="16"/>
      <c r="M169" s="16"/>
    </row>
    <row r="170" spans="2:14" ht="16" x14ac:dyDescent="0.35">
      <c r="B170" s="202" t="s">
        <v>286</v>
      </c>
      <c r="C170" s="577">
        <f>42.876+2.75</f>
        <v>45.625999999999998</v>
      </c>
      <c r="D170" s="581">
        <f>53.312+2.75</f>
        <v>56.061999999999998</v>
      </c>
      <c r="E170" s="577">
        <f>75.77+2.744</f>
        <v>78.513999999999996</v>
      </c>
      <c r="F170" s="204">
        <v>78.825000000000003</v>
      </c>
      <c r="G170" s="204">
        <f>90751.2851063145/1000</f>
        <v>90.751285106314512</v>
      </c>
      <c r="H170" s="200" t="s">
        <v>286</v>
      </c>
      <c r="I170" s="204">
        <v>95.709614207088251</v>
      </c>
      <c r="J170" s="204">
        <v>96.245919387537327</v>
      </c>
      <c r="K170" s="200">
        <v>105.65</v>
      </c>
    </row>
    <row r="171" spans="2:14" ht="16" x14ac:dyDescent="0.35">
      <c r="B171" s="202" t="s">
        <v>287</v>
      </c>
      <c r="C171" s="577">
        <v>2.0179999999999998</v>
      </c>
      <c r="D171" s="581">
        <v>11.83</v>
      </c>
      <c r="E171" s="577">
        <v>2.4</v>
      </c>
      <c r="F171" s="204">
        <v>10.349</v>
      </c>
      <c r="G171" s="204">
        <f>13520.8812105423/1000</f>
        <v>13.520881210542301</v>
      </c>
      <c r="H171" s="200" t="s">
        <v>287</v>
      </c>
      <c r="I171" s="204">
        <v>19.164962679190896</v>
      </c>
      <c r="J171" s="204">
        <v>20.439664016491921</v>
      </c>
      <c r="K171" s="200">
        <v>19.53</v>
      </c>
      <c r="N171" s="1"/>
    </row>
    <row r="172" spans="2:14" ht="17.5" x14ac:dyDescent="0.45">
      <c r="B172" s="202" t="s">
        <v>72</v>
      </c>
      <c r="C172" s="577">
        <v>1.244</v>
      </c>
      <c r="D172" s="581">
        <v>1.3220000000000001</v>
      </c>
      <c r="E172" s="577">
        <v>1.26</v>
      </c>
      <c r="F172" s="204">
        <v>1.26</v>
      </c>
      <c r="G172" s="204">
        <f>1428.00269107356/1000</f>
        <v>1.4280026910735601</v>
      </c>
      <c r="H172" s="200" t="s">
        <v>73</v>
      </c>
      <c r="I172" s="204">
        <v>4.456425775550791</v>
      </c>
      <c r="J172" s="204">
        <v>4.3778045000000008</v>
      </c>
      <c r="K172" s="200">
        <v>5.54</v>
      </c>
      <c r="L172" s="16"/>
      <c r="M172" s="16"/>
      <c r="N172" s="1"/>
    </row>
    <row r="173" spans="2:14" ht="18" thickBot="1" x14ac:dyDescent="0.5">
      <c r="B173" s="203" t="s">
        <v>32</v>
      </c>
      <c r="C173" s="205">
        <f>SUM(C170:C172)</f>
        <v>48.887999999999998</v>
      </c>
      <c r="D173" s="582">
        <f>SUM(D170:D172)</f>
        <v>69.213999999999999</v>
      </c>
      <c r="E173" s="582">
        <f>SUM(E170:E172)</f>
        <v>82.174000000000007</v>
      </c>
      <c r="F173" s="205">
        <f>SUM(F170:F172)</f>
        <v>90.434000000000012</v>
      </c>
      <c r="G173" s="205">
        <f>109679.350601713/1000</f>
        <v>109.679350601713</v>
      </c>
      <c r="H173" s="200" t="s">
        <v>72</v>
      </c>
      <c r="I173" s="204">
        <v>1.4282846742340927</v>
      </c>
      <c r="J173" s="204">
        <v>1.4519085000000003</v>
      </c>
      <c r="K173" s="200">
        <v>1.58</v>
      </c>
      <c r="L173" s="16"/>
      <c r="M173" s="16"/>
    </row>
    <row r="174" spans="2:14" ht="18" thickBot="1" x14ac:dyDescent="0.5">
      <c r="B174" s="199"/>
      <c r="C174" s="199"/>
      <c r="F174" s="199"/>
      <c r="G174" s="199"/>
      <c r="H174" s="201" t="s">
        <v>32</v>
      </c>
      <c r="I174" s="205">
        <f>SUM(I170:I173)</f>
        <v>120.75928733606402</v>
      </c>
      <c r="J174" s="205">
        <f>SUM(J170:J173)</f>
        <v>122.51529640402924</v>
      </c>
      <c r="K174" s="201">
        <f>SUM(K170:K173)</f>
        <v>132.30000000000001</v>
      </c>
      <c r="L174" s="16"/>
      <c r="M174" s="16"/>
    </row>
    <row r="175" spans="2:14" ht="17.5" x14ac:dyDescent="0.45">
      <c r="B175" s="161"/>
      <c r="J175" s="16"/>
      <c r="K175" s="16"/>
      <c r="L175" s="16"/>
    </row>
    <row r="176" spans="2:14" s="25" customFormat="1" ht="17.5" x14ac:dyDescent="0.45">
      <c r="B176" s="32" t="s">
        <v>233</v>
      </c>
      <c r="C176" s="32"/>
      <c r="D176" s="27"/>
      <c r="E176" s="27"/>
      <c r="F176" s="27"/>
      <c r="G176" s="27"/>
      <c r="H176" s="27"/>
      <c r="I176" s="27"/>
      <c r="J176" s="27"/>
      <c r="K176" s="27"/>
      <c r="L176" s="40"/>
    </row>
    <row r="177" spans="2:15" ht="6" customHeight="1" thickBot="1" x14ac:dyDescent="0.5">
      <c r="B177" s="30"/>
      <c r="C177" s="30"/>
      <c r="D177" s="31"/>
      <c r="E177" s="16"/>
      <c r="F177" s="31"/>
      <c r="G177" s="31"/>
      <c r="H177" s="31"/>
      <c r="I177" s="31"/>
      <c r="J177" s="31"/>
      <c r="K177" s="31"/>
      <c r="L177" s="16"/>
    </row>
    <row r="178" spans="2:15" ht="39" x14ac:dyDescent="0.45">
      <c r="B178" s="631" t="s">
        <v>275</v>
      </c>
      <c r="C178" s="631" t="s">
        <v>33</v>
      </c>
      <c r="D178" s="629" t="s">
        <v>34</v>
      </c>
      <c r="E178" s="249" t="s">
        <v>35</v>
      </c>
      <c r="F178" s="249" t="s">
        <v>36</v>
      </c>
      <c r="G178" s="249" t="s">
        <v>37</v>
      </c>
      <c r="H178" s="631" t="s">
        <v>275</v>
      </c>
      <c r="I178" s="249" t="s">
        <v>57</v>
      </c>
      <c r="J178" s="249" t="s">
        <v>288</v>
      </c>
      <c r="K178" s="249" t="s">
        <v>285</v>
      </c>
      <c r="L178" s="16"/>
      <c r="M178" s="16"/>
    </row>
    <row r="179" spans="2:15" ht="17.5" x14ac:dyDescent="0.45">
      <c r="B179" s="200" t="s">
        <v>286</v>
      </c>
      <c r="C179" s="577">
        <f>375.69+37.54</f>
        <v>413.23</v>
      </c>
      <c r="D179" s="581">
        <f>374.48+37.54</f>
        <v>412.02000000000004</v>
      </c>
      <c r="E179" s="577">
        <f>448.23+36.04</f>
        <v>484.27000000000004</v>
      </c>
      <c r="F179" s="208">
        <v>512.08000000000004</v>
      </c>
      <c r="G179" s="208">
        <v>979.63456860444148</v>
      </c>
      <c r="H179" s="200" t="s">
        <v>286</v>
      </c>
      <c r="I179" s="208">
        <v>1178.8257906415058</v>
      </c>
      <c r="J179" s="208">
        <v>1205.64199565491</v>
      </c>
      <c r="K179" s="208">
        <v>855.52869577703905</v>
      </c>
      <c r="L179" s="16"/>
      <c r="M179" s="16"/>
    </row>
    <row r="180" spans="2:15" ht="17.5" x14ac:dyDescent="0.45">
      <c r="B180" s="200" t="s">
        <v>287</v>
      </c>
      <c r="C180" s="577">
        <v>13.43</v>
      </c>
      <c r="D180" s="581">
        <v>166.21</v>
      </c>
      <c r="E180" s="577">
        <v>15.22</v>
      </c>
      <c r="F180" s="208">
        <v>122.43</v>
      </c>
      <c r="G180" s="208">
        <v>143.94282189249762</v>
      </c>
      <c r="H180" s="200" t="s">
        <v>287</v>
      </c>
      <c r="I180" s="208">
        <v>214.65268223176753</v>
      </c>
      <c r="J180" s="208">
        <v>227.97548598991031</v>
      </c>
      <c r="K180" s="208">
        <v>224.7401087803764</v>
      </c>
      <c r="L180" s="16"/>
      <c r="M180" s="16"/>
      <c r="N180" s="1"/>
    </row>
    <row r="181" spans="2:15" ht="17.5" x14ac:dyDescent="0.45">
      <c r="B181" s="200" t="s">
        <v>72</v>
      </c>
      <c r="C181" s="577">
        <v>9.6</v>
      </c>
      <c r="D181" s="581">
        <v>9.94</v>
      </c>
      <c r="E181" s="577">
        <v>9.67</v>
      </c>
      <c r="F181" s="208">
        <v>9.6999999999999993</v>
      </c>
      <c r="G181" s="208">
        <v>12</v>
      </c>
      <c r="H181" s="200" t="s">
        <v>73</v>
      </c>
      <c r="I181" s="208">
        <v>64.571596846216934</v>
      </c>
      <c r="J181" s="208">
        <v>59.192700515995135</v>
      </c>
      <c r="K181" s="208">
        <v>73.376254778217771</v>
      </c>
      <c r="L181" s="16"/>
      <c r="M181" s="16"/>
      <c r="N181" s="1"/>
      <c r="O181" s="1"/>
    </row>
    <row r="182" spans="2:15" ht="18" thickBot="1" x14ac:dyDescent="0.5">
      <c r="B182" s="201" t="s">
        <v>32</v>
      </c>
      <c r="C182" s="205">
        <f>SUM(C179:C181)</f>
        <v>436.26000000000005</v>
      </c>
      <c r="D182" s="582">
        <f>SUM(D179:D181)</f>
        <v>588.17000000000007</v>
      </c>
      <c r="E182" s="582">
        <f>SUM(E179:E181)</f>
        <v>509.16000000000008</v>
      </c>
      <c r="F182" s="209">
        <f>SUM(F179:F181)</f>
        <v>644.21</v>
      </c>
      <c r="G182" s="209">
        <v>1185.595569135239</v>
      </c>
      <c r="H182" s="200" t="s">
        <v>72</v>
      </c>
      <c r="I182" s="208">
        <v>10.042565860395998</v>
      </c>
      <c r="J182" s="208">
        <v>59.192700515995135</v>
      </c>
      <c r="K182" s="208">
        <v>10.266425963991784</v>
      </c>
      <c r="L182" s="16"/>
      <c r="M182" s="16"/>
    </row>
    <row r="183" spans="2:15" ht="18" thickBot="1" x14ac:dyDescent="0.5">
      <c r="B183" s="206"/>
      <c r="F183" s="199"/>
      <c r="G183" s="207"/>
      <c r="H183" s="201" t="s">
        <v>32</v>
      </c>
      <c r="I183" s="209">
        <f>SUM(I179:I182)</f>
        <v>1468.0926355798863</v>
      </c>
      <c r="J183" s="209">
        <f>SUM(J179:J182)</f>
        <v>1552.0028826768105</v>
      </c>
      <c r="K183" s="209">
        <v>1163.9114852996252</v>
      </c>
      <c r="L183" s="16"/>
      <c r="M183" s="16"/>
    </row>
    <row r="184" spans="2:15" ht="17.5" x14ac:dyDescent="0.45">
      <c r="I184" s="31"/>
      <c r="J184" s="31"/>
      <c r="K184" s="31"/>
      <c r="L184" s="31"/>
    </row>
    <row r="185" spans="2:15" s="25" customFormat="1" ht="17.5" x14ac:dyDescent="0.45">
      <c r="B185" s="32" t="s">
        <v>235</v>
      </c>
      <c r="C185" s="32"/>
      <c r="D185" s="27"/>
      <c r="E185" s="27"/>
      <c r="F185" s="27"/>
      <c r="G185" s="27"/>
      <c r="H185" s="27"/>
      <c r="I185" s="27"/>
      <c r="J185" s="27"/>
      <c r="K185" s="27"/>
      <c r="L185" s="40"/>
    </row>
    <row r="186" spans="2:15" ht="6" customHeight="1" thickBot="1" x14ac:dyDescent="0.5">
      <c r="B186" s="30"/>
      <c r="C186" s="30"/>
      <c r="D186" s="31"/>
      <c r="E186" s="16"/>
      <c r="F186" s="31"/>
      <c r="G186" s="31"/>
      <c r="H186" s="31"/>
      <c r="I186" s="31"/>
      <c r="J186" s="31"/>
      <c r="K186" s="31"/>
      <c r="L186" s="16"/>
    </row>
    <row r="187" spans="2:15" ht="32" x14ac:dyDescent="0.45">
      <c r="B187" s="249" t="s">
        <v>289</v>
      </c>
      <c r="C187" s="631" t="s">
        <v>33</v>
      </c>
      <c r="D187" s="629" t="s">
        <v>34</v>
      </c>
      <c r="E187" s="249" t="s">
        <v>35</v>
      </c>
      <c r="F187" s="249" t="s">
        <v>36</v>
      </c>
      <c r="G187" s="249" t="s">
        <v>37</v>
      </c>
      <c r="H187" s="411" t="s">
        <v>290</v>
      </c>
      <c r="I187" s="630" t="s">
        <v>39</v>
      </c>
      <c r="J187" s="16"/>
      <c r="K187" s="16"/>
    </row>
    <row r="188" spans="2:15" ht="18" thickBot="1" x14ac:dyDescent="0.5">
      <c r="B188" s="201" t="s">
        <v>32</v>
      </c>
      <c r="C188" s="415" t="s">
        <v>291</v>
      </c>
      <c r="D188" s="583" t="s">
        <v>291</v>
      </c>
      <c r="E188" s="415">
        <v>0.22500000000000001</v>
      </c>
      <c r="F188" s="210">
        <v>0.13</v>
      </c>
      <c r="G188" s="210">
        <v>0.2</v>
      </c>
      <c r="H188" s="210">
        <v>0.21</v>
      </c>
      <c r="I188" s="211">
        <v>0.18</v>
      </c>
      <c r="J188" s="16"/>
      <c r="K188" s="16"/>
    </row>
    <row r="189" spans="2:15" ht="18" thickBot="1" x14ac:dyDescent="0.5">
      <c r="B189" s="413"/>
      <c r="C189" s="413"/>
      <c r="E189" s="414"/>
      <c r="F189" s="414"/>
      <c r="G189" s="414"/>
      <c r="H189" s="414"/>
      <c r="I189" s="16"/>
      <c r="J189" s="16"/>
    </row>
    <row r="190" spans="2:15" ht="32" x14ac:dyDescent="0.45">
      <c r="B190" s="411" t="s">
        <v>292</v>
      </c>
      <c r="C190" s="631" t="s">
        <v>33</v>
      </c>
      <c r="D190" s="629" t="s">
        <v>34</v>
      </c>
      <c r="E190" s="249" t="s">
        <v>35</v>
      </c>
      <c r="F190" s="249" t="s">
        <v>36</v>
      </c>
      <c r="G190" s="249" t="s">
        <v>37</v>
      </c>
      <c r="H190" s="249" t="s">
        <v>57</v>
      </c>
      <c r="I190" s="630" t="s">
        <v>39</v>
      </c>
      <c r="J190" s="16"/>
      <c r="K190" s="16"/>
    </row>
    <row r="191" spans="2:15" ht="18" thickBot="1" x14ac:dyDescent="0.5">
      <c r="B191" s="201" t="s">
        <v>32</v>
      </c>
      <c r="C191" s="415">
        <v>0.21199999999999999</v>
      </c>
      <c r="D191" s="583">
        <v>0.27500000000000002</v>
      </c>
      <c r="E191" s="415">
        <v>0.23300000000000001</v>
      </c>
      <c r="F191" s="496">
        <v>0.25</v>
      </c>
      <c r="G191" s="210">
        <v>0.47299999999999998</v>
      </c>
      <c r="H191" s="210">
        <v>0.51700000000000002</v>
      </c>
      <c r="I191" s="211">
        <v>0.53400000000000003</v>
      </c>
      <c r="J191" s="16"/>
      <c r="K191" s="16"/>
    </row>
    <row r="192" spans="2:15" ht="17.5" x14ac:dyDescent="0.45">
      <c r="B192" s="160"/>
      <c r="C192" s="30"/>
      <c r="D192" s="31"/>
      <c r="E192" s="31"/>
      <c r="F192" s="31"/>
      <c r="G192" s="31"/>
      <c r="H192" s="31"/>
      <c r="I192" s="31"/>
      <c r="J192" s="31"/>
    </row>
    <row r="193" spans="2:12" s="25" customFormat="1" ht="17.5" x14ac:dyDescent="0.45">
      <c r="B193" s="32" t="s">
        <v>237</v>
      </c>
      <c r="C193" s="32"/>
      <c r="D193" s="27"/>
      <c r="E193" s="27"/>
      <c r="F193" s="27"/>
      <c r="G193" s="27"/>
      <c r="H193" s="27"/>
      <c r="I193" s="27"/>
      <c r="J193" s="27"/>
      <c r="K193" s="27"/>
      <c r="L193" s="40"/>
    </row>
    <row r="194" spans="2:12" ht="6" customHeight="1" thickBot="1" x14ac:dyDescent="0.5">
      <c r="B194" s="30"/>
      <c r="C194" s="30"/>
      <c r="D194" s="31"/>
      <c r="E194" s="16"/>
      <c r="F194" s="31"/>
      <c r="G194" s="31"/>
      <c r="H194" s="31"/>
      <c r="I194" s="31"/>
      <c r="J194" s="31"/>
      <c r="K194" s="31"/>
      <c r="L194" s="16"/>
    </row>
    <row r="195" spans="2:12" ht="31.15" customHeight="1" thickBot="1" x14ac:dyDescent="0.5">
      <c r="B195" s="667" t="s">
        <v>46</v>
      </c>
      <c r="C195" s="667" t="s">
        <v>68</v>
      </c>
      <c r="D195" s="669" t="s">
        <v>260</v>
      </c>
      <c r="E195" s="669"/>
      <c r="F195" s="669" t="s">
        <v>293</v>
      </c>
      <c r="G195" s="669"/>
      <c r="H195" s="670" t="s">
        <v>294</v>
      </c>
      <c r="I195" s="671"/>
      <c r="J195" s="670" t="s">
        <v>295</v>
      </c>
      <c r="K195" s="671"/>
      <c r="L195" s="16"/>
    </row>
    <row r="196" spans="2:12" ht="18" thickBot="1" x14ac:dyDescent="0.5">
      <c r="B196" s="668"/>
      <c r="C196" s="668"/>
      <c r="D196" s="104" t="s">
        <v>296</v>
      </c>
      <c r="E196" s="104" t="s">
        <v>297</v>
      </c>
      <c r="F196" s="104" t="s">
        <v>296</v>
      </c>
      <c r="G196" s="104" t="s">
        <v>297</v>
      </c>
      <c r="H196" s="104" t="s">
        <v>296</v>
      </c>
      <c r="I196" s="104" t="s">
        <v>297</v>
      </c>
      <c r="J196" s="104" t="s">
        <v>296</v>
      </c>
      <c r="K196" s="104" t="s">
        <v>297</v>
      </c>
      <c r="L196" s="16"/>
    </row>
    <row r="197" spans="2:12" ht="17.5" x14ac:dyDescent="0.45">
      <c r="B197" s="44" t="s">
        <v>157</v>
      </c>
      <c r="C197" s="44" t="s">
        <v>32</v>
      </c>
      <c r="D197" s="105">
        <f t="shared" ref="D197:I197" si="0">SUM(D199:D203)</f>
        <v>48.890000000000008</v>
      </c>
      <c r="E197" s="105">
        <f t="shared" si="0"/>
        <v>436.26000000000005</v>
      </c>
      <c r="F197" s="105">
        <f t="shared" si="0"/>
        <v>26.651</v>
      </c>
      <c r="G197" s="105">
        <f t="shared" si="0"/>
        <v>168.78</v>
      </c>
      <c r="H197" s="105">
        <f t="shared" si="0"/>
        <v>32.795999999999999</v>
      </c>
      <c r="I197" s="105">
        <f t="shared" si="0"/>
        <v>267.5</v>
      </c>
      <c r="J197" s="105">
        <f t="shared" ref="J197:K197" si="1">SUM(J199:J203)</f>
        <v>-10.561999999999999</v>
      </c>
      <c r="K197" s="105">
        <f t="shared" si="1"/>
        <v>0</v>
      </c>
      <c r="L197" s="16"/>
    </row>
    <row r="198" spans="2:12" ht="17.5" x14ac:dyDescent="0.45">
      <c r="B198" s="42" t="s">
        <v>158</v>
      </c>
      <c r="C198" s="42" t="s">
        <v>298</v>
      </c>
      <c r="D198" s="106">
        <f t="shared" ref="D198:I198" si="2">SUM(D199:D201)</f>
        <v>45.628000000000007</v>
      </c>
      <c r="E198" s="106">
        <f t="shared" si="2"/>
        <v>413.23</v>
      </c>
      <c r="F198" s="106">
        <f t="shared" si="2"/>
        <v>26.146999999999998</v>
      </c>
      <c r="G198" s="106">
        <f t="shared" si="2"/>
        <v>163.68</v>
      </c>
      <c r="H198" s="106">
        <f t="shared" si="2"/>
        <v>30.038</v>
      </c>
      <c r="I198" s="106">
        <f t="shared" si="2"/>
        <v>249.57</v>
      </c>
      <c r="J198" s="106">
        <f t="shared" ref="J198" si="3">SUM(J199:J201)</f>
        <v>-10.561999999999999</v>
      </c>
      <c r="K198" s="106">
        <f t="shared" ref="K198" si="4">SUM(K199:K201)</f>
        <v>0</v>
      </c>
      <c r="L198" s="16"/>
    </row>
    <row r="199" spans="2:12" ht="17.5" x14ac:dyDescent="0.45">
      <c r="B199" s="42"/>
      <c r="C199" s="33" t="s">
        <v>69</v>
      </c>
      <c r="D199" s="578">
        <f>7.683+0.386</f>
        <v>8.0689999999999991</v>
      </c>
      <c r="E199" s="578">
        <f>186.06+3.03</f>
        <v>189.09</v>
      </c>
      <c r="F199" s="578">
        <v>9.1300000000000008</v>
      </c>
      <c r="G199" s="578">
        <v>93.55</v>
      </c>
      <c r="H199" s="578">
        <f>0.341+8.708+0.017+0.435</f>
        <v>9.5009999999999994</v>
      </c>
      <c r="I199" s="578">
        <f>92.97+2.57</f>
        <v>95.539999999999992</v>
      </c>
      <c r="J199" s="578">
        <f>E425/1000</f>
        <v>-10.561999999999999</v>
      </c>
      <c r="K199" s="578">
        <v>0</v>
      </c>
      <c r="L199" s="16"/>
    </row>
    <row r="200" spans="2:12" ht="17.5" x14ac:dyDescent="0.45">
      <c r="B200" s="42"/>
      <c r="C200" s="33" t="s">
        <v>299</v>
      </c>
      <c r="D200" s="578">
        <f>17.344+1.199+0.103+0.277</f>
        <v>18.923000000000005</v>
      </c>
      <c r="E200" s="578">
        <f>111.55+26.19+2.39+4.11</f>
        <v>144.24</v>
      </c>
      <c r="F200" s="578">
        <v>12.186999999999999</v>
      </c>
      <c r="G200" s="578">
        <v>56.29</v>
      </c>
      <c r="H200" s="578">
        <v>6.7350000000000003</v>
      </c>
      <c r="I200" s="578">
        <v>87.95</v>
      </c>
      <c r="J200" s="578">
        <v>0</v>
      </c>
      <c r="K200" s="578">
        <v>0</v>
      </c>
      <c r="L200" s="16"/>
    </row>
    <row r="201" spans="2:12" ht="17.5" x14ac:dyDescent="0.45">
      <c r="B201" s="42"/>
      <c r="C201" s="33" t="s">
        <v>71</v>
      </c>
      <c r="D201" s="578">
        <f>17.85+0.786</f>
        <v>18.636000000000003</v>
      </c>
      <c r="E201" s="578">
        <f>78.08+1.82</f>
        <v>79.899999999999991</v>
      </c>
      <c r="F201" s="578">
        <v>4.83</v>
      </c>
      <c r="G201" s="578">
        <f>13.22+0.62</f>
        <v>13.84</v>
      </c>
      <c r="H201" s="578">
        <f>13.443+0.359</f>
        <v>13.802</v>
      </c>
      <c r="I201" s="578">
        <f>64.87+1.21</f>
        <v>66.08</v>
      </c>
      <c r="J201" s="578">
        <v>0</v>
      </c>
      <c r="K201" s="578">
        <v>0</v>
      </c>
      <c r="L201" s="16"/>
    </row>
    <row r="202" spans="2:12" ht="17.5" x14ac:dyDescent="0.45">
      <c r="B202" s="42"/>
      <c r="C202" s="33" t="s">
        <v>50</v>
      </c>
      <c r="D202" s="578">
        <v>2.0179999999999998</v>
      </c>
      <c r="E202" s="578">
        <v>13.43</v>
      </c>
      <c r="F202" s="578">
        <v>0.504</v>
      </c>
      <c r="G202" s="578">
        <v>5.0999999999999996</v>
      </c>
      <c r="H202" s="578">
        <v>1.514</v>
      </c>
      <c r="I202" s="578">
        <v>8.33</v>
      </c>
      <c r="J202" s="578">
        <v>0</v>
      </c>
      <c r="K202" s="578">
        <v>0</v>
      </c>
      <c r="L202" s="16"/>
    </row>
    <row r="203" spans="2:12" ht="17.5" x14ac:dyDescent="0.45">
      <c r="B203" s="35"/>
      <c r="C203" s="47" t="s">
        <v>72</v>
      </c>
      <c r="D203" s="579">
        <v>1.244</v>
      </c>
      <c r="E203" s="579">
        <v>9.6</v>
      </c>
      <c r="F203" s="579">
        <v>0</v>
      </c>
      <c r="G203" s="579">
        <v>0</v>
      </c>
      <c r="H203" s="579">
        <v>1.244</v>
      </c>
      <c r="I203" s="579">
        <v>9.6</v>
      </c>
      <c r="J203" s="579">
        <v>0</v>
      </c>
      <c r="K203" s="579">
        <v>0</v>
      </c>
      <c r="L203" s="16"/>
    </row>
    <row r="204" spans="2:12" ht="16.5" x14ac:dyDescent="0.45">
      <c r="B204" s="44" t="s">
        <v>157</v>
      </c>
      <c r="C204" s="44" t="s">
        <v>32</v>
      </c>
      <c r="D204" s="105">
        <f t="shared" ref="D204:K204" si="5">SUM(D206:D210)</f>
        <v>56.563000000000002</v>
      </c>
      <c r="E204" s="105">
        <f t="shared" si="5"/>
        <v>576.83000000000004</v>
      </c>
      <c r="F204" s="105">
        <f t="shared" si="5"/>
        <v>32.856999999999999</v>
      </c>
      <c r="G204" s="105">
        <f t="shared" si="5"/>
        <v>278.84000000000003</v>
      </c>
      <c r="H204" s="105">
        <f t="shared" si="5"/>
        <v>34.552999999999997</v>
      </c>
      <c r="I204" s="105">
        <f t="shared" si="5"/>
        <v>305.13</v>
      </c>
      <c r="J204" s="105">
        <f t="shared" si="5"/>
        <v>-10.561999999999999</v>
      </c>
      <c r="K204" s="105">
        <f t="shared" si="5"/>
        <v>0</v>
      </c>
      <c r="L204" s="638"/>
    </row>
    <row r="205" spans="2:12" ht="16.5" x14ac:dyDescent="0.45">
      <c r="B205" s="412" t="s">
        <v>396</v>
      </c>
      <c r="C205" s="42" t="s">
        <v>298</v>
      </c>
      <c r="D205" s="106">
        <f t="shared" ref="D205" si="6">SUM(D206:D208)</f>
        <v>45.628000000000007</v>
      </c>
      <c r="E205" s="106">
        <f t="shared" ref="E205" si="7">SUM(E206:E208)</f>
        <v>413.23</v>
      </c>
      <c r="F205" s="106">
        <f t="shared" ref="F205" si="8">SUM(F206:F208)</f>
        <v>26.146999999999998</v>
      </c>
      <c r="G205" s="106">
        <f t="shared" ref="G205" si="9">SUM(G206:G208)</f>
        <v>163.68</v>
      </c>
      <c r="H205" s="106">
        <f t="shared" ref="H205" si="10">SUM(H206:H208)</f>
        <v>30.038</v>
      </c>
      <c r="I205" s="106">
        <f t="shared" ref="I205" si="11">SUM(I206:I208)</f>
        <v>249.57</v>
      </c>
      <c r="J205" s="106">
        <f t="shared" ref="J205" si="12">SUM(J206:J208)</f>
        <v>-10.561999999999999</v>
      </c>
      <c r="K205" s="106">
        <f t="shared" ref="K205" si="13">SUM(K206:K208)</f>
        <v>0</v>
      </c>
      <c r="L205" s="638"/>
    </row>
    <row r="206" spans="2:12" ht="16.5" x14ac:dyDescent="0.45">
      <c r="B206" s="42"/>
      <c r="C206" s="33" t="s">
        <v>69</v>
      </c>
      <c r="D206" s="578">
        <f>D199</f>
        <v>8.0689999999999991</v>
      </c>
      <c r="E206" s="578">
        <f t="shared" ref="E206:J206" si="14">E199</f>
        <v>189.09</v>
      </c>
      <c r="F206" s="578">
        <f t="shared" si="14"/>
        <v>9.1300000000000008</v>
      </c>
      <c r="G206" s="578">
        <f t="shared" si="14"/>
        <v>93.55</v>
      </c>
      <c r="H206" s="578">
        <f t="shared" si="14"/>
        <v>9.5009999999999994</v>
      </c>
      <c r="I206" s="578">
        <f t="shared" si="14"/>
        <v>95.539999999999992</v>
      </c>
      <c r="J206" s="578">
        <f t="shared" si="14"/>
        <v>-10.561999999999999</v>
      </c>
      <c r="K206" s="578"/>
      <c r="L206" s="638"/>
    </row>
    <row r="207" spans="2:12" ht="16.5" x14ac:dyDescent="0.45">
      <c r="B207" s="42"/>
      <c r="C207" s="33" t="s">
        <v>299</v>
      </c>
      <c r="D207" s="578">
        <f t="shared" ref="D207:J207" si="15">D200</f>
        <v>18.923000000000005</v>
      </c>
      <c r="E207" s="578">
        <f t="shared" si="15"/>
        <v>144.24</v>
      </c>
      <c r="F207" s="578">
        <f t="shared" si="15"/>
        <v>12.186999999999999</v>
      </c>
      <c r="G207" s="578">
        <f t="shared" si="15"/>
        <v>56.29</v>
      </c>
      <c r="H207" s="578">
        <f t="shared" si="15"/>
        <v>6.7350000000000003</v>
      </c>
      <c r="I207" s="578">
        <f t="shared" si="15"/>
        <v>87.95</v>
      </c>
      <c r="J207" s="578">
        <f t="shared" si="15"/>
        <v>0</v>
      </c>
      <c r="K207" s="578"/>
      <c r="L207" s="638"/>
    </row>
    <row r="208" spans="2:12" ht="16.5" x14ac:dyDescent="0.45">
      <c r="B208" s="42"/>
      <c r="C208" s="33" t="s">
        <v>71</v>
      </c>
      <c r="D208" s="578">
        <f t="shared" ref="D208:J208" si="16">D201</f>
        <v>18.636000000000003</v>
      </c>
      <c r="E208" s="578">
        <f t="shared" si="16"/>
        <v>79.899999999999991</v>
      </c>
      <c r="F208" s="578">
        <f t="shared" si="16"/>
        <v>4.83</v>
      </c>
      <c r="G208" s="578">
        <f t="shared" si="16"/>
        <v>13.84</v>
      </c>
      <c r="H208" s="578">
        <f t="shared" si="16"/>
        <v>13.802</v>
      </c>
      <c r="I208" s="578">
        <f t="shared" si="16"/>
        <v>66.08</v>
      </c>
      <c r="J208" s="578">
        <f t="shared" si="16"/>
        <v>0</v>
      </c>
      <c r="K208" s="578"/>
      <c r="L208" s="638"/>
    </row>
    <row r="209" spans="2:12" ht="16.5" x14ac:dyDescent="0.45">
      <c r="B209" s="42"/>
      <c r="C209" s="33" t="s">
        <v>50</v>
      </c>
      <c r="D209" s="578">
        <f>D202+7.673</f>
        <v>9.6909999999999989</v>
      </c>
      <c r="E209" s="578">
        <f>E202+140.57</f>
        <v>154</v>
      </c>
      <c r="F209" s="578">
        <f>F202+6.206</f>
        <v>6.7100000000000009</v>
      </c>
      <c r="G209" s="578">
        <f>G202+110.06</f>
        <v>115.16</v>
      </c>
      <c r="H209" s="578">
        <f>H216+1.467</f>
        <v>3.2709999999999995</v>
      </c>
      <c r="I209" s="578">
        <f>I216+30.51</f>
        <v>45.960000000000008</v>
      </c>
      <c r="J209" s="578">
        <v>0</v>
      </c>
      <c r="K209" s="578">
        <v>0</v>
      </c>
      <c r="L209" s="638"/>
    </row>
    <row r="210" spans="2:12" ht="17" thickBot="1" x14ac:dyDescent="0.5">
      <c r="B210" s="35"/>
      <c r="C210" s="47" t="s">
        <v>72</v>
      </c>
      <c r="D210" s="579">
        <f>D203</f>
        <v>1.244</v>
      </c>
      <c r="E210" s="579">
        <f t="shared" ref="E210:K210" si="17">E203</f>
        <v>9.6</v>
      </c>
      <c r="F210" s="579">
        <f t="shared" si="17"/>
        <v>0</v>
      </c>
      <c r="G210" s="579">
        <f t="shared" si="17"/>
        <v>0</v>
      </c>
      <c r="H210" s="579">
        <f t="shared" si="17"/>
        <v>1.244</v>
      </c>
      <c r="I210" s="579">
        <f t="shared" si="17"/>
        <v>9.6</v>
      </c>
      <c r="J210" s="579">
        <f t="shared" si="17"/>
        <v>0</v>
      </c>
      <c r="K210" s="579">
        <f t="shared" si="17"/>
        <v>0</v>
      </c>
      <c r="L210" s="638"/>
    </row>
    <row r="211" spans="2:12" ht="17.5" x14ac:dyDescent="0.45">
      <c r="B211" s="44" t="s">
        <v>35</v>
      </c>
      <c r="C211" s="44" t="s">
        <v>32</v>
      </c>
      <c r="D211" s="578">
        <f>D218</f>
        <v>90.433000000000007</v>
      </c>
      <c r="E211" s="578">
        <f t="shared" ref="E211:I211" si="18">E218</f>
        <v>644.22</v>
      </c>
      <c r="F211" s="578">
        <f t="shared" si="18"/>
        <v>49.509</v>
      </c>
      <c r="G211" s="578">
        <f t="shared" si="18"/>
        <v>272.08000000000004</v>
      </c>
      <c r="H211" s="578">
        <f t="shared" si="18"/>
        <v>40.926000000000002</v>
      </c>
      <c r="I211" s="578">
        <f t="shared" si="18"/>
        <v>371.53799999999995</v>
      </c>
      <c r="J211" s="584"/>
      <c r="K211" s="584"/>
      <c r="L211" s="16"/>
    </row>
    <row r="212" spans="2:12" ht="17.5" x14ac:dyDescent="0.45">
      <c r="B212" s="42"/>
      <c r="C212" s="33" t="s">
        <v>298</v>
      </c>
      <c r="D212" s="578">
        <f>D219</f>
        <v>78.823999999999998</v>
      </c>
      <c r="E212" s="578">
        <f t="shared" ref="E212:I212" si="19">E219</f>
        <v>512.09</v>
      </c>
      <c r="F212" s="578">
        <f t="shared" si="19"/>
        <v>44.938000000000002</v>
      </c>
      <c r="G212" s="578">
        <f t="shared" si="19"/>
        <v>216.05</v>
      </c>
      <c r="H212" s="578">
        <f t="shared" si="19"/>
        <v>33.888000000000005</v>
      </c>
      <c r="I212" s="578">
        <f t="shared" si="19"/>
        <v>295.44299999999998</v>
      </c>
      <c r="J212" s="584"/>
      <c r="K212" s="584"/>
      <c r="L212" s="16"/>
    </row>
    <row r="213" spans="2:12" ht="17.5" x14ac:dyDescent="0.45">
      <c r="B213" s="42"/>
      <c r="C213" s="33" t="s">
        <v>69</v>
      </c>
      <c r="D213" s="578">
        <f>D220</f>
        <v>38.585000000000001</v>
      </c>
      <c r="E213" s="578">
        <f t="shared" ref="E213:I213" si="20">E220</f>
        <v>241.92999999999998</v>
      </c>
      <c r="F213" s="578">
        <f t="shared" si="20"/>
        <v>26.658000000000001</v>
      </c>
      <c r="G213" s="578">
        <f t="shared" si="20"/>
        <v>122.46000000000001</v>
      </c>
      <c r="H213" s="578">
        <f t="shared" si="20"/>
        <v>11.928000000000001</v>
      </c>
      <c r="I213" s="578">
        <f t="shared" si="20"/>
        <v>118.88200000000001</v>
      </c>
      <c r="J213" s="584"/>
      <c r="K213" s="584"/>
      <c r="L213" s="16"/>
    </row>
    <row r="214" spans="2:12" ht="17.5" x14ac:dyDescent="0.45">
      <c r="B214" s="42"/>
      <c r="C214" s="412" t="s">
        <v>300</v>
      </c>
      <c r="D214" s="578">
        <f>D221</f>
        <v>20.811</v>
      </c>
      <c r="E214" s="578">
        <f t="shared" ref="E214:I214" si="21">E221</f>
        <v>157.04000000000002</v>
      </c>
      <c r="F214" s="578">
        <f t="shared" si="21"/>
        <v>12.542999999999999</v>
      </c>
      <c r="G214" s="578">
        <f t="shared" si="21"/>
        <v>65.56</v>
      </c>
      <c r="H214" s="578">
        <f t="shared" si="21"/>
        <v>8.2690000000000001</v>
      </c>
      <c r="I214" s="578">
        <f t="shared" si="21"/>
        <v>91.477000000000004</v>
      </c>
      <c r="J214" s="584"/>
      <c r="K214" s="584"/>
      <c r="L214" s="16"/>
    </row>
    <row r="215" spans="2:12" ht="17.5" x14ac:dyDescent="0.45">
      <c r="B215" s="42"/>
      <c r="C215" s="33" t="s">
        <v>71</v>
      </c>
      <c r="D215" s="578">
        <f>D222</f>
        <v>19.428000000000001</v>
      </c>
      <c r="E215" s="578">
        <f t="shared" ref="E215:I215" si="22">E222</f>
        <v>113.12</v>
      </c>
      <c r="F215" s="578">
        <f t="shared" si="22"/>
        <v>5.7370000000000001</v>
      </c>
      <c r="G215" s="578">
        <f t="shared" si="22"/>
        <v>28.03</v>
      </c>
      <c r="H215" s="578">
        <f t="shared" si="22"/>
        <v>13.691000000000001</v>
      </c>
      <c r="I215" s="578">
        <f t="shared" si="22"/>
        <v>85.084000000000003</v>
      </c>
      <c r="J215" s="584"/>
      <c r="K215" s="584"/>
      <c r="L215" s="16"/>
    </row>
    <row r="216" spans="2:12" ht="17.5" x14ac:dyDescent="0.45">
      <c r="B216" s="42"/>
      <c r="C216" s="33" t="s">
        <v>50</v>
      </c>
      <c r="D216" s="578">
        <f>D223-7.949</f>
        <v>2.4000000000000004</v>
      </c>
      <c r="E216" s="578">
        <f>E223-100.06</f>
        <v>22.370000000000005</v>
      </c>
      <c r="F216" s="578">
        <f>F223-3.974</f>
        <v>0.59699999999999953</v>
      </c>
      <c r="G216" s="578">
        <f>G223-49.11</f>
        <v>6.9200000000000017</v>
      </c>
      <c r="H216" s="578">
        <f>H223-(3.785+0.189)</f>
        <v>1.8039999999999994</v>
      </c>
      <c r="I216" s="578">
        <f>I223-50.95</f>
        <v>15.450000000000003</v>
      </c>
      <c r="J216" s="584"/>
      <c r="K216" s="584"/>
      <c r="L216" s="16"/>
    </row>
    <row r="217" spans="2:12" ht="18" thickBot="1" x14ac:dyDescent="0.5">
      <c r="B217" s="35"/>
      <c r="C217" s="47" t="s">
        <v>72</v>
      </c>
      <c r="D217" s="578">
        <f t="shared" ref="D217:I217" si="23">D224</f>
        <v>1.26</v>
      </c>
      <c r="E217" s="578">
        <f t="shared" si="23"/>
        <v>9.6999999999999993</v>
      </c>
      <c r="F217" s="578">
        <f t="shared" si="23"/>
        <v>0</v>
      </c>
      <c r="G217" s="578">
        <f t="shared" si="23"/>
        <v>0</v>
      </c>
      <c r="H217" s="578">
        <f t="shared" si="23"/>
        <v>1.26</v>
      </c>
      <c r="I217" s="578">
        <f t="shared" si="23"/>
        <v>9.6950000000000003</v>
      </c>
      <c r="J217" s="584"/>
      <c r="K217" s="584"/>
      <c r="L217" s="16"/>
    </row>
    <row r="218" spans="2:12" ht="17.5" x14ac:dyDescent="0.45">
      <c r="B218" s="44" t="s">
        <v>36</v>
      </c>
      <c r="C218" s="44" t="s">
        <v>32</v>
      </c>
      <c r="D218" s="105">
        <v>90.433000000000007</v>
      </c>
      <c r="E218" s="105">
        <v>644.22</v>
      </c>
      <c r="F218" s="105">
        <v>49.509</v>
      </c>
      <c r="G218" s="105">
        <v>272.08000000000004</v>
      </c>
      <c r="H218" s="105">
        <v>40.926000000000002</v>
      </c>
      <c r="I218" s="105">
        <v>371.53799999999995</v>
      </c>
      <c r="J218" s="16"/>
      <c r="K218" s="16"/>
      <c r="L218" s="16"/>
    </row>
    <row r="219" spans="2:12" ht="17.5" x14ac:dyDescent="0.45">
      <c r="B219" s="42"/>
      <c r="C219" s="33" t="s">
        <v>298</v>
      </c>
      <c r="D219" s="106">
        <v>78.823999999999998</v>
      </c>
      <c r="E219" s="106">
        <v>512.09</v>
      </c>
      <c r="F219" s="106">
        <v>44.938000000000002</v>
      </c>
      <c r="G219" s="106">
        <v>216.05</v>
      </c>
      <c r="H219" s="106">
        <v>33.888000000000005</v>
      </c>
      <c r="I219" s="106">
        <v>295.44299999999998</v>
      </c>
      <c r="J219" s="31"/>
      <c r="K219" s="16"/>
      <c r="L219" s="16"/>
    </row>
    <row r="220" spans="2:12" ht="17.5" x14ac:dyDescent="0.45">
      <c r="B220" s="42"/>
      <c r="C220" s="33" t="s">
        <v>69</v>
      </c>
      <c r="D220" s="107">
        <v>38.585000000000001</v>
      </c>
      <c r="E220" s="107">
        <v>241.92999999999998</v>
      </c>
      <c r="F220" s="107">
        <v>26.658000000000001</v>
      </c>
      <c r="G220" s="107">
        <v>122.46000000000001</v>
      </c>
      <c r="H220" s="107">
        <v>11.928000000000001</v>
      </c>
      <c r="I220" s="107">
        <v>118.88200000000001</v>
      </c>
      <c r="J220" s="31"/>
      <c r="K220" s="16"/>
      <c r="L220" s="16"/>
    </row>
    <row r="221" spans="2:12" ht="17.5" x14ac:dyDescent="0.45">
      <c r="B221" s="42"/>
      <c r="C221" s="412" t="s">
        <v>300</v>
      </c>
      <c r="D221" s="107">
        <v>20.811</v>
      </c>
      <c r="E221" s="107">
        <v>157.04000000000002</v>
      </c>
      <c r="F221" s="107">
        <v>12.542999999999999</v>
      </c>
      <c r="G221" s="107">
        <v>65.56</v>
      </c>
      <c r="H221" s="107">
        <v>8.2690000000000001</v>
      </c>
      <c r="I221" s="107">
        <v>91.477000000000004</v>
      </c>
      <c r="J221" s="31"/>
      <c r="K221" s="16"/>
      <c r="L221" s="16"/>
    </row>
    <row r="222" spans="2:12" ht="17.5" x14ac:dyDescent="0.45">
      <c r="B222" s="42"/>
      <c r="C222" s="33" t="s">
        <v>71</v>
      </c>
      <c r="D222" s="107">
        <v>19.428000000000001</v>
      </c>
      <c r="E222" s="107">
        <v>113.12</v>
      </c>
      <c r="F222" s="107">
        <v>5.7370000000000001</v>
      </c>
      <c r="G222" s="107">
        <v>28.03</v>
      </c>
      <c r="H222" s="107">
        <v>13.691000000000001</v>
      </c>
      <c r="I222" s="107">
        <v>85.084000000000003</v>
      </c>
      <c r="J222" s="31"/>
      <c r="K222" s="16"/>
      <c r="L222" s="16"/>
    </row>
    <row r="223" spans="2:12" ht="17.5" x14ac:dyDescent="0.45">
      <c r="B223" s="42"/>
      <c r="C223" s="33" t="s">
        <v>50</v>
      </c>
      <c r="D223" s="107">
        <v>10.349</v>
      </c>
      <c r="E223" s="107">
        <v>122.43</v>
      </c>
      <c r="F223" s="107">
        <v>4.5709999999999997</v>
      </c>
      <c r="G223" s="107">
        <v>56.03</v>
      </c>
      <c r="H223" s="107">
        <v>5.7779999999999996</v>
      </c>
      <c r="I223" s="107">
        <v>66.400000000000006</v>
      </c>
      <c r="J223" s="31"/>
      <c r="K223" s="16"/>
      <c r="L223" s="16"/>
    </row>
    <row r="224" spans="2:12" ht="18" thickBot="1" x14ac:dyDescent="0.5">
      <c r="B224" s="35"/>
      <c r="C224" s="47" t="s">
        <v>72</v>
      </c>
      <c r="D224" s="213">
        <v>1.26</v>
      </c>
      <c r="E224" s="213">
        <v>9.6999999999999993</v>
      </c>
      <c r="F224" s="213">
        <v>0</v>
      </c>
      <c r="G224" s="213">
        <v>0</v>
      </c>
      <c r="H224" s="213">
        <v>1.26</v>
      </c>
      <c r="I224" s="213">
        <v>9.6950000000000003</v>
      </c>
      <c r="J224" s="31"/>
      <c r="K224" s="16"/>
      <c r="L224" s="16"/>
    </row>
    <row r="225" spans="2:12" ht="17.5" x14ac:dyDescent="0.45">
      <c r="B225" s="44" t="s">
        <v>37</v>
      </c>
      <c r="C225" s="44" t="s">
        <v>32</v>
      </c>
      <c r="D225" s="214">
        <f t="shared" ref="D225:I225" si="24">SUM(D227:D232)</f>
        <v>109.68001537254416</v>
      </c>
      <c r="E225" s="214">
        <f t="shared" si="24"/>
        <v>1197.9999999999998</v>
      </c>
      <c r="F225" s="416">
        <f t="shared" si="24"/>
        <v>64.397536464485526</v>
      </c>
      <c r="G225" s="214">
        <f t="shared" si="24"/>
        <v>918</v>
      </c>
      <c r="H225" s="214">
        <f t="shared" si="24"/>
        <v>45.282478908058614</v>
      </c>
      <c r="I225" s="214">
        <f t="shared" si="24"/>
        <v>280</v>
      </c>
      <c r="J225" s="16"/>
      <c r="K225" s="16"/>
      <c r="L225" s="16"/>
    </row>
    <row r="226" spans="2:12" ht="17.5" x14ac:dyDescent="0.45">
      <c r="B226" s="42"/>
      <c r="C226" s="33" t="s">
        <v>298</v>
      </c>
      <c r="D226" s="215">
        <f t="shared" ref="D226:I226" si="25">SUM(D227:D229)</f>
        <v>90.390015372544156</v>
      </c>
      <c r="E226" s="215">
        <f t="shared" si="25"/>
        <v>1038.5999999999999</v>
      </c>
      <c r="F226" s="215">
        <f t="shared" si="25"/>
        <v>57.483536464485525</v>
      </c>
      <c r="G226" s="215">
        <f t="shared" si="25"/>
        <v>830</v>
      </c>
      <c r="H226" s="215">
        <f t="shared" si="25"/>
        <v>32.906478908058617</v>
      </c>
      <c r="I226" s="215">
        <f t="shared" si="25"/>
        <v>208.6</v>
      </c>
      <c r="J226" s="31"/>
      <c r="K226" s="16"/>
      <c r="L226" s="16"/>
    </row>
    <row r="227" spans="2:12" ht="17.5" x14ac:dyDescent="0.45">
      <c r="B227" s="42"/>
      <c r="C227" s="33" t="s">
        <v>69</v>
      </c>
      <c r="D227" s="216">
        <f>F227+H227</f>
        <v>54.213999999999999</v>
      </c>
      <c r="E227" s="216">
        <f>SUM(G227,I227)</f>
        <v>692.5</v>
      </c>
      <c r="F227" s="216">
        <f>42113/1000</f>
        <v>42.113</v>
      </c>
      <c r="G227" s="216">
        <v>577</v>
      </c>
      <c r="H227" s="216">
        <f>12101/1000</f>
        <v>12.101000000000001</v>
      </c>
      <c r="I227" s="216">
        <v>115.5</v>
      </c>
      <c r="J227" s="31"/>
      <c r="K227" s="16"/>
      <c r="L227" s="16"/>
    </row>
    <row r="228" spans="2:12" ht="17.5" x14ac:dyDescent="0.45">
      <c r="B228" s="42"/>
      <c r="C228" s="33" t="s">
        <v>299</v>
      </c>
      <c r="D228" s="216">
        <f>F228+H228</f>
        <v>16.45555299796677</v>
      </c>
      <c r="E228" s="216">
        <f>SUM(G228,I228)</f>
        <v>204.6</v>
      </c>
      <c r="F228" s="216">
        <f>9509.89494824505/1000</f>
        <v>9.5098949482450497</v>
      </c>
      <c r="G228" s="216">
        <v>172</v>
      </c>
      <c r="H228" s="216">
        <f>6945.65804972172/1000</f>
        <v>6.94565804972172</v>
      </c>
      <c r="I228" s="216">
        <v>32.6</v>
      </c>
      <c r="J228" s="31"/>
      <c r="K228" s="16"/>
      <c r="L228" s="16"/>
    </row>
    <row r="229" spans="2:12" ht="17.5" x14ac:dyDescent="0.45">
      <c r="B229" s="42"/>
      <c r="C229" s="33" t="s">
        <v>71</v>
      </c>
      <c r="D229" s="216">
        <f>F229+H229</f>
        <v>19.72046237457738</v>
      </c>
      <c r="E229" s="216">
        <f>SUM(G229,I229)</f>
        <v>141.5</v>
      </c>
      <c r="F229" s="216">
        <f>5860.64151624048/1000</f>
        <v>5.8606415162404799</v>
      </c>
      <c r="G229" s="216">
        <v>81</v>
      </c>
      <c r="H229" s="216">
        <f>13859.8208583369/1000</f>
        <v>13.859820858336899</v>
      </c>
      <c r="I229" s="216">
        <v>60.5</v>
      </c>
      <c r="J229" s="31"/>
      <c r="K229" s="16"/>
      <c r="L229" s="16"/>
    </row>
    <row r="230" spans="2:12" ht="17.5" x14ac:dyDescent="0.45">
      <c r="B230" s="42"/>
      <c r="C230" s="33" t="s">
        <v>50</v>
      </c>
      <c r="D230" s="216">
        <f>F230+H230</f>
        <v>13.521000000000001</v>
      </c>
      <c r="E230" s="216">
        <f>SUM(G230,I230)</f>
        <v>141.10000000000002</v>
      </c>
      <c r="F230" s="216">
        <f>4710/1000</f>
        <v>4.71</v>
      </c>
      <c r="G230" s="216">
        <v>83.9</v>
      </c>
      <c r="H230" s="216">
        <f>8811/1000</f>
        <v>8.8109999999999999</v>
      </c>
      <c r="I230" s="216">
        <v>57.2</v>
      </c>
      <c r="J230" s="31"/>
      <c r="K230" s="16"/>
      <c r="L230" s="16"/>
    </row>
    <row r="231" spans="2:12" ht="18" thickBot="1" x14ac:dyDescent="0.5">
      <c r="B231" s="35"/>
      <c r="C231" s="47" t="s">
        <v>72</v>
      </c>
      <c r="D231" s="213">
        <f>F231+H231</f>
        <v>5.7690000000000001</v>
      </c>
      <c r="E231" s="213">
        <f>SUM(G231,I231)</f>
        <v>18.299999999999997</v>
      </c>
      <c r="F231" s="213">
        <f>2204/1000</f>
        <v>2.2040000000000002</v>
      </c>
      <c r="G231" s="213">
        <v>4.0999999999999996</v>
      </c>
      <c r="H231" s="213">
        <f>(2137+1428)/1000</f>
        <v>3.5649999999999999</v>
      </c>
      <c r="I231" s="213">
        <f>4.7+9.5</f>
        <v>14.2</v>
      </c>
      <c r="J231" s="31"/>
      <c r="K231" s="16"/>
      <c r="L231" s="16"/>
    </row>
    <row r="232" spans="2:12" ht="18" hidden="1" thickBot="1" x14ac:dyDescent="0.5">
      <c r="B232" s="54"/>
      <c r="C232" s="55"/>
      <c r="D232" s="63"/>
      <c r="E232" s="63"/>
      <c r="F232" s="63"/>
      <c r="G232" s="63"/>
      <c r="H232" s="63"/>
      <c r="I232" s="63"/>
      <c r="J232" s="31"/>
      <c r="K232" s="16"/>
      <c r="L232" s="16"/>
    </row>
    <row r="233" spans="2:12" ht="17.5" x14ac:dyDescent="0.45">
      <c r="B233" s="44" t="s">
        <v>57</v>
      </c>
      <c r="C233" s="44" t="s">
        <v>32</v>
      </c>
      <c r="D233" s="105">
        <v>120.76</v>
      </c>
      <c r="E233" s="105">
        <v>1468.09</v>
      </c>
      <c r="F233" s="105">
        <v>78.94</v>
      </c>
      <c r="G233" s="105">
        <v>1151.5</v>
      </c>
      <c r="H233" s="105">
        <v>41.82</v>
      </c>
      <c r="I233" s="105">
        <v>316.58999999999997</v>
      </c>
      <c r="J233" s="65"/>
      <c r="K233" s="16"/>
      <c r="L233" s="16"/>
    </row>
    <row r="234" spans="2:12" ht="17.5" x14ac:dyDescent="0.45">
      <c r="B234" s="42"/>
      <c r="C234" s="33" t="s">
        <v>298</v>
      </c>
      <c r="D234" s="106">
        <v>95.71</v>
      </c>
      <c r="E234" s="106">
        <v>1178.83</v>
      </c>
      <c r="F234" s="106">
        <v>69.17</v>
      </c>
      <c r="G234" s="106">
        <v>967</v>
      </c>
      <c r="H234" s="106">
        <v>26.54</v>
      </c>
      <c r="I234" s="106">
        <v>211.83</v>
      </c>
      <c r="J234" s="31"/>
      <c r="K234" s="16"/>
      <c r="L234" s="16"/>
    </row>
    <row r="235" spans="2:12" ht="17.5" x14ac:dyDescent="0.45">
      <c r="B235" s="42"/>
      <c r="C235" s="33" t="s">
        <v>69</v>
      </c>
      <c r="D235" s="107">
        <v>59.78</v>
      </c>
      <c r="E235" s="107">
        <v>816.91</v>
      </c>
      <c r="F235" s="107">
        <v>46.66</v>
      </c>
      <c r="G235" s="107">
        <v>700.01</v>
      </c>
      <c r="H235" s="107">
        <v>13.12</v>
      </c>
      <c r="I235" s="107">
        <v>116.9</v>
      </c>
      <c r="J235" s="31"/>
      <c r="K235" s="16"/>
      <c r="L235" s="16"/>
    </row>
    <row r="236" spans="2:12" ht="17.5" x14ac:dyDescent="0.45">
      <c r="B236" s="42"/>
      <c r="C236" s="33" t="s">
        <v>299</v>
      </c>
      <c r="D236" s="107">
        <v>15.1</v>
      </c>
      <c r="E236" s="107">
        <v>195.92</v>
      </c>
      <c r="F236" s="107">
        <v>8.6999999999999993</v>
      </c>
      <c r="G236" s="107">
        <v>162.82</v>
      </c>
      <c r="H236" s="107">
        <v>6.4</v>
      </c>
      <c r="I236" s="107">
        <v>33.090000000000003</v>
      </c>
      <c r="J236" s="31"/>
      <c r="K236" s="16"/>
      <c r="L236" s="16"/>
    </row>
    <row r="237" spans="2:12" ht="17.5" x14ac:dyDescent="0.45">
      <c r="B237" s="42"/>
      <c r="C237" s="33" t="s">
        <v>71</v>
      </c>
      <c r="D237" s="107">
        <v>20.83</v>
      </c>
      <c r="E237" s="107">
        <v>166</v>
      </c>
      <c r="F237" s="107">
        <v>13.81</v>
      </c>
      <c r="G237" s="107">
        <v>104.17</v>
      </c>
      <c r="H237" s="107">
        <v>7.02</v>
      </c>
      <c r="I237" s="107">
        <v>61.83</v>
      </c>
      <c r="J237" s="31"/>
      <c r="K237" s="16"/>
      <c r="L237" s="16"/>
    </row>
    <row r="238" spans="2:12" ht="17.5" x14ac:dyDescent="0.45">
      <c r="B238" s="42"/>
      <c r="C238" s="33" t="s">
        <v>50</v>
      </c>
      <c r="D238" s="107">
        <v>19.16</v>
      </c>
      <c r="E238" s="107">
        <v>214.65</v>
      </c>
      <c r="F238" s="107">
        <v>7.73</v>
      </c>
      <c r="G238" s="107">
        <v>137</v>
      </c>
      <c r="H238" s="107">
        <v>11.44</v>
      </c>
      <c r="I238" s="107">
        <v>77.650000000000006</v>
      </c>
      <c r="J238" s="31"/>
      <c r="K238" s="31"/>
      <c r="L238" s="16"/>
    </row>
    <row r="239" spans="2:12" ht="17.5" x14ac:dyDescent="0.45">
      <c r="B239" s="42"/>
      <c r="C239" s="33" t="s">
        <v>73</v>
      </c>
      <c r="D239" s="107">
        <v>4.46</v>
      </c>
      <c r="E239" s="107">
        <v>64.569999999999993</v>
      </c>
      <c r="F239" s="107">
        <v>2.04</v>
      </c>
      <c r="G239" s="107">
        <v>47.47</v>
      </c>
      <c r="H239" s="107">
        <v>2.42</v>
      </c>
      <c r="I239" s="107">
        <v>17.11</v>
      </c>
      <c r="J239" s="31"/>
      <c r="K239" s="31"/>
      <c r="L239" s="16"/>
    </row>
    <row r="240" spans="2:12" ht="18" thickBot="1" x14ac:dyDescent="0.5">
      <c r="B240" s="35"/>
      <c r="C240" s="47" t="s">
        <v>72</v>
      </c>
      <c r="D240" s="108">
        <v>1.43</v>
      </c>
      <c r="E240" s="108">
        <v>10.039999999999999</v>
      </c>
      <c r="F240" s="108">
        <v>0</v>
      </c>
      <c r="G240" s="108">
        <v>0.04</v>
      </c>
      <c r="H240" s="108">
        <v>1.43</v>
      </c>
      <c r="I240" s="108">
        <v>10</v>
      </c>
      <c r="J240" s="31"/>
      <c r="K240" s="31"/>
      <c r="L240" s="16"/>
    </row>
    <row r="241" spans="2:13" ht="17.5" x14ac:dyDescent="0.45">
      <c r="B241" s="44" t="s">
        <v>39</v>
      </c>
      <c r="C241" s="44" t="s">
        <v>32</v>
      </c>
      <c r="D241" s="105">
        <f>SUM(D242,D246:D248)</f>
        <v>122.51529640402927</v>
      </c>
      <c r="E241" s="105">
        <f>SUM(E242,E246:E248)</f>
        <v>1501.9175100030088</v>
      </c>
      <c r="F241" s="105">
        <f t="shared" ref="F241:I241" si="26">SUM(F242,F246:F248)</f>
        <v>74.8759286184563</v>
      </c>
      <c r="G241" s="105">
        <f t="shared" si="26"/>
        <v>1197.720648456472</v>
      </c>
      <c r="H241" s="105">
        <f t="shared" si="26"/>
        <v>47.639367785572965</v>
      </c>
      <c r="I241" s="105">
        <f t="shared" si="26"/>
        <v>304.19686154653664</v>
      </c>
      <c r="J241" s="66"/>
      <c r="K241" s="31"/>
      <c r="L241" s="16"/>
    </row>
    <row r="242" spans="2:13" ht="17.5" x14ac:dyDescent="0.45">
      <c r="B242" s="110" t="s">
        <v>301</v>
      </c>
      <c r="C242" s="33" t="s">
        <v>298</v>
      </c>
      <c r="D242" s="107">
        <v>96.245919387537356</v>
      </c>
      <c r="E242" s="107">
        <v>1205.6419956549107</v>
      </c>
      <c r="F242" s="107">
        <v>64.522273101964387</v>
      </c>
      <c r="G242" s="107">
        <v>1004.9986463550911</v>
      </c>
      <c r="H242" s="107">
        <v>31.723646285572954</v>
      </c>
      <c r="I242" s="107">
        <v>200.64334929981948</v>
      </c>
      <c r="J242" s="31"/>
      <c r="K242" s="31"/>
      <c r="L242" s="16"/>
    </row>
    <row r="243" spans="2:13" ht="17.5" x14ac:dyDescent="0.45">
      <c r="B243" s="42"/>
      <c r="C243" s="33" t="s">
        <v>69</v>
      </c>
      <c r="D243" s="107">
        <v>61.004711054204009</v>
      </c>
      <c r="E243" s="107">
        <v>847.11235364537254</v>
      </c>
      <c r="F243" s="107">
        <v>49.062361268631051</v>
      </c>
      <c r="G243" s="107">
        <v>740.46515533127786</v>
      </c>
      <c r="H243" s="107">
        <v>11.942349785572956</v>
      </c>
      <c r="I243" s="107">
        <v>106.64719831409465</v>
      </c>
      <c r="J243" s="31"/>
      <c r="K243" s="31"/>
      <c r="L243" s="16"/>
    </row>
    <row r="244" spans="2:13" ht="17.5" x14ac:dyDescent="0.45">
      <c r="B244" s="42"/>
      <c r="C244" s="33" t="s">
        <v>299</v>
      </c>
      <c r="D244" s="107">
        <v>14.600604500000001</v>
      </c>
      <c r="E244" s="107">
        <v>198.43557514383915</v>
      </c>
      <c r="F244" s="107">
        <v>8.9119565000000005</v>
      </c>
      <c r="G244" s="107">
        <v>165.72255928386531</v>
      </c>
      <c r="H244" s="107">
        <v>5.6886479999999997</v>
      </c>
      <c r="I244" s="107">
        <v>32.713015859973829</v>
      </c>
      <c r="J244" s="31"/>
      <c r="K244" s="31"/>
      <c r="L244" s="16"/>
    </row>
    <row r="245" spans="2:13" ht="17.5" x14ac:dyDescent="0.45">
      <c r="B245" s="42"/>
      <c r="C245" s="33" t="s">
        <v>71</v>
      </c>
      <c r="D245" s="107">
        <v>20.640603833333337</v>
      </c>
      <c r="E245" s="107">
        <v>160.09406686569889</v>
      </c>
      <c r="F245" s="107">
        <v>6.5479553333333396</v>
      </c>
      <c r="G245" s="107">
        <v>98.810931739947904</v>
      </c>
      <c r="H245" s="107">
        <v>14.092648499999997</v>
      </c>
      <c r="I245" s="107">
        <v>61.283135125750995</v>
      </c>
      <c r="J245" s="31"/>
      <c r="K245" s="31"/>
      <c r="L245" s="16"/>
    </row>
    <row r="246" spans="2:13" ht="17.5" x14ac:dyDescent="0.45">
      <c r="B246" s="42"/>
      <c r="C246" s="33" t="s">
        <v>50</v>
      </c>
      <c r="D246" s="107">
        <v>20.439664016491921</v>
      </c>
      <c r="E246" s="107">
        <v>227.97548598991034</v>
      </c>
      <c r="F246" s="107">
        <v>8.4318745164919164</v>
      </c>
      <c r="G246" s="107">
        <v>150.79460350357206</v>
      </c>
      <c r="H246" s="107">
        <v>12.007789500000007</v>
      </c>
      <c r="I246" s="107">
        <v>77.180882486338263</v>
      </c>
      <c r="J246" s="31"/>
      <c r="K246" s="31"/>
      <c r="L246" s="16"/>
    </row>
    <row r="247" spans="2:13" ht="17.5" x14ac:dyDescent="0.45">
      <c r="B247" s="42"/>
      <c r="C247" s="33" t="s">
        <v>73</v>
      </c>
      <c r="D247" s="107">
        <v>4.3778044999999999</v>
      </c>
      <c r="E247" s="107">
        <v>59.192700515995142</v>
      </c>
      <c r="F247" s="107">
        <v>1.9217810000000006</v>
      </c>
      <c r="G247" s="107">
        <v>41.92739859780896</v>
      </c>
      <c r="H247" s="107">
        <v>2.4560234999999997</v>
      </c>
      <c r="I247" s="107">
        <v>17.265301918186186</v>
      </c>
      <c r="J247" s="31"/>
      <c r="K247" s="31"/>
      <c r="L247" s="16"/>
    </row>
    <row r="248" spans="2:13" ht="18" thickBot="1" x14ac:dyDescent="0.5">
      <c r="B248" s="35"/>
      <c r="C248" s="47" t="s">
        <v>72</v>
      </c>
      <c r="D248" s="108">
        <v>1.4519085000000003</v>
      </c>
      <c r="E248" s="108">
        <v>9.1073278421927135</v>
      </c>
      <c r="F248" s="108">
        <v>0</v>
      </c>
      <c r="G248" s="108">
        <v>0</v>
      </c>
      <c r="H248" s="108">
        <v>1.4519085000000003</v>
      </c>
      <c r="I248" s="108">
        <v>9.1073278421927135</v>
      </c>
      <c r="J248" s="31"/>
      <c r="K248" s="31"/>
      <c r="L248" s="16"/>
    </row>
    <row r="249" spans="2:13" ht="17.5" x14ac:dyDescent="0.45">
      <c r="B249" s="44" t="s">
        <v>302</v>
      </c>
      <c r="C249" s="44" t="s">
        <v>32</v>
      </c>
      <c r="D249" s="105">
        <v>132.35231866995485</v>
      </c>
      <c r="E249" s="105">
        <v>1163.9114852996247</v>
      </c>
      <c r="F249" s="105">
        <v>79.409802819421216</v>
      </c>
      <c r="G249" s="105">
        <v>777.58664154250357</v>
      </c>
      <c r="H249" s="105">
        <v>52.942515850533653</v>
      </c>
      <c r="I249" s="105">
        <v>386.32484375712107</v>
      </c>
      <c r="J249" s="31"/>
      <c r="K249" s="31"/>
    </row>
    <row r="250" spans="2:13" ht="17.5" x14ac:dyDescent="0.45">
      <c r="B250" s="110" t="s">
        <v>303</v>
      </c>
      <c r="C250" s="33" t="s">
        <v>298</v>
      </c>
      <c r="D250" s="107">
        <v>105.19396246846784</v>
      </c>
      <c r="E250" s="107">
        <v>855.52869577703871</v>
      </c>
      <c r="F250" s="107">
        <v>68.653510029886149</v>
      </c>
      <c r="G250" s="107">
        <v>587.98452484034669</v>
      </c>
      <c r="H250" s="107">
        <v>36.540452438581703</v>
      </c>
      <c r="I250" s="107">
        <v>267.54417093669201</v>
      </c>
      <c r="J250" s="31"/>
      <c r="K250" s="31"/>
      <c r="L250" s="16"/>
    </row>
    <row r="251" spans="2:13" ht="17.5" x14ac:dyDescent="0.45">
      <c r="B251" s="42"/>
      <c r="C251" s="33" t="s">
        <v>69</v>
      </c>
      <c r="D251" s="107">
        <v>68.806948850210205</v>
      </c>
      <c r="E251" s="107">
        <v>479.02112675390634</v>
      </c>
      <c r="F251" s="107">
        <v>52.275460196468643</v>
      </c>
      <c r="G251" s="107">
        <v>344.63634979783893</v>
      </c>
      <c r="H251" s="107">
        <v>16.531488653741565</v>
      </c>
      <c r="I251" s="107">
        <v>134.38477695606741</v>
      </c>
      <c r="J251" s="31"/>
      <c r="K251" s="31"/>
      <c r="L251" s="16"/>
    </row>
    <row r="252" spans="2:13" ht="17.5" x14ac:dyDescent="0.45">
      <c r="B252" s="42"/>
      <c r="C252" s="33" t="s">
        <v>299</v>
      </c>
      <c r="D252" s="107">
        <v>15.485408860049924</v>
      </c>
      <c r="E252" s="107">
        <v>209.50590629966248</v>
      </c>
      <c r="F252" s="107">
        <v>9.5187951558581965</v>
      </c>
      <c r="G252" s="107">
        <v>138.86634647524482</v>
      </c>
      <c r="H252" s="107">
        <v>5.9666137041917278</v>
      </c>
      <c r="I252" s="107">
        <v>70.63955982441766</v>
      </c>
      <c r="J252" s="31"/>
      <c r="K252" s="31"/>
      <c r="L252" s="16"/>
    </row>
    <row r="253" spans="2:13" ht="17.5" x14ac:dyDescent="0.45">
      <c r="B253" s="42"/>
      <c r="C253" s="33" t="s">
        <v>71</v>
      </c>
      <c r="D253" s="107">
        <v>20.901604758207714</v>
      </c>
      <c r="E253" s="107">
        <v>167.00166272346985</v>
      </c>
      <c r="F253" s="107">
        <v>6.8592546775593028</v>
      </c>
      <c r="G253" s="107">
        <v>104.48182856726294</v>
      </c>
      <c r="H253" s="107">
        <v>14.042350080648411</v>
      </c>
      <c r="I253" s="107">
        <v>62.519834156206926</v>
      </c>
      <c r="J253" s="31"/>
      <c r="K253" s="31"/>
      <c r="L253" s="16"/>
    </row>
    <row r="254" spans="2:13" ht="17.5" x14ac:dyDescent="0.45">
      <c r="B254" s="42"/>
      <c r="C254" s="33" t="s">
        <v>50</v>
      </c>
      <c r="D254" s="107">
        <v>19.855746948003937</v>
      </c>
      <c r="E254" s="107">
        <v>224.74010878037643</v>
      </c>
      <c r="F254" s="107">
        <v>8.2771316131612043</v>
      </c>
      <c r="G254" s="107">
        <v>148.72126105731763</v>
      </c>
      <c r="H254" s="107">
        <v>11.578615334842732</v>
      </c>
      <c r="I254" s="107">
        <v>76.018847723058784</v>
      </c>
      <c r="J254" s="31"/>
      <c r="K254" s="31"/>
    </row>
    <row r="255" spans="2:13" ht="17.5" x14ac:dyDescent="0.45">
      <c r="B255" s="42"/>
      <c r="C255" s="33" t="s">
        <v>73</v>
      </c>
      <c r="D255" s="107">
        <v>5.6722692534830799</v>
      </c>
      <c r="E255" s="107">
        <v>73.376254778217771</v>
      </c>
      <c r="F255" s="107">
        <v>2.4791611763738577</v>
      </c>
      <c r="G255" s="107">
        <v>40.880855644839251</v>
      </c>
      <c r="H255" s="107">
        <v>3.1931080771092217</v>
      </c>
      <c r="I255" s="107">
        <v>32.49539913337852</v>
      </c>
      <c r="J255" s="31"/>
      <c r="K255" s="31"/>
      <c r="L255" s="67"/>
      <c r="M255" s="6"/>
    </row>
    <row r="256" spans="2:13" ht="18" thickBot="1" x14ac:dyDescent="0.5">
      <c r="B256" s="35"/>
      <c r="C256" s="47" t="s">
        <v>72</v>
      </c>
      <c r="D256" s="109">
        <v>1.6303399999999997</v>
      </c>
      <c r="E256" s="108">
        <v>10.266425963991784</v>
      </c>
      <c r="F256" s="108">
        <v>0</v>
      </c>
      <c r="G256" s="108">
        <v>0</v>
      </c>
      <c r="H256" s="108">
        <v>1.6303399999999997</v>
      </c>
      <c r="I256" s="108">
        <v>10.266425963991784</v>
      </c>
      <c r="J256" s="31"/>
      <c r="K256" s="31"/>
      <c r="L256" s="67"/>
      <c r="M256" s="6"/>
    </row>
    <row r="257" spans="2:14" ht="17.5" x14ac:dyDescent="0.45">
      <c r="B257" s="30"/>
      <c r="C257" s="30"/>
      <c r="D257" s="31"/>
      <c r="E257" s="31"/>
      <c r="F257" s="31"/>
      <c r="G257" s="31"/>
      <c r="H257" s="31"/>
      <c r="I257" s="31"/>
      <c r="J257" s="16"/>
      <c r="K257" s="31"/>
      <c r="L257" s="16"/>
    </row>
    <row r="258" spans="2:14" s="25" customFormat="1" ht="17.5" x14ac:dyDescent="0.45">
      <c r="B258" s="32" t="s">
        <v>239</v>
      </c>
      <c r="C258" s="32"/>
      <c r="D258" s="27"/>
      <c r="E258" s="27"/>
      <c r="F258" s="27"/>
      <c r="G258" s="27"/>
      <c r="H258" s="27"/>
      <c r="I258" s="27"/>
      <c r="J258" s="27"/>
      <c r="K258" s="27"/>
      <c r="L258" s="40"/>
    </row>
    <row r="259" spans="2:14" ht="6" customHeight="1" thickBot="1" x14ac:dyDescent="0.5">
      <c r="B259" s="30"/>
      <c r="C259" s="30"/>
      <c r="D259" s="31"/>
      <c r="E259" s="16"/>
      <c r="F259" s="31"/>
      <c r="G259" s="31"/>
      <c r="H259" s="31"/>
      <c r="I259" s="31"/>
      <c r="J259" s="31"/>
      <c r="K259" s="31"/>
      <c r="L259" s="16"/>
    </row>
    <row r="260" spans="2:14" ht="32" x14ac:dyDescent="0.45">
      <c r="B260" s="250" t="s">
        <v>304</v>
      </c>
      <c r="C260" s="250" t="s">
        <v>33</v>
      </c>
      <c r="D260" s="250" t="s">
        <v>34</v>
      </c>
      <c r="E260" s="250" t="s">
        <v>35</v>
      </c>
      <c r="F260" s="250" t="s">
        <v>36</v>
      </c>
      <c r="G260" s="250" t="s">
        <v>37</v>
      </c>
      <c r="H260" s="250" t="s">
        <v>57</v>
      </c>
      <c r="I260" s="251" t="s">
        <v>305</v>
      </c>
      <c r="J260" s="250" t="s">
        <v>306</v>
      </c>
      <c r="K260" s="16"/>
      <c r="L260" s="16"/>
      <c r="M260" s="16"/>
    </row>
    <row r="261" spans="2:14" ht="17.5" x14ac:dyDescent="0.45">
      <c r="B261" s="102" t="s">
        <v>307</v>
      </c>
      <c r="C261" s="519">
        <v>0.44</v>
      </c>
      <c r="D261" s="621" t="s">
        <v>308</v>
      </c>
      <c r="E261" s="621">
        <v>0.438</v>
      </c>
      <c r="F261" s="111">
        <v>0.44600000000000001</v>
      </c>
      <c r="G261" s="111">
        <v>0.41</v>
      </c>
      <c r="H261" s="111">
        <v>0.39572022412250457</v>
      </c>
      <c r="I261" s="112">
        <v>0.43300646874891002</v>
      </c>
      <c r="J261" s="102">
        <v>40</v>
      </c>
      <c r="K261" s="16"/>
      <c r="L261" s="16"/>
      <c r="M261" s="16"/>
    </row>
    <row r="262" spans="2:14" ht="17.5" x14ac:dyDescent="0.45">
      <c r="B262" s="102" t="s">
        <v>309</v>
      </c>
      <c r="C262" s="519">
        <v>0.21</v>
      </c>
      <c r="D262" s="621" t="s">
        <v>308</v>
      </c>
      <c r="E262" s="621">
        <v>0.34699999999999998</v>
      </c>
      <c r="F262" s="111">
        <v>0.32600000000000001</v>
      </c>
      <c r="G262" s="111">
        <v>0.36</v>
      </c>
      <c r="H262" s="111">
        <v>0.36420060670157511</v>
      </c>
      <c r="I262" s="112">
        <v>0.40355225343549905</v>
      </c>
      <c r="J262" s="102">
        <v>33</v>
      </c>
      <c r="K262" s="16"/>
      <c r="L262" s="16"/>
      <c r="M262" s="16"/>
    </row>
    <row r="263" spans="2:14" ht="17.5" x14ac:dyDescent="0.45">
      <c r="B263" s="102" t="s">
        <v>310</v>
      </c>
      <c r="C263" s="519">
        <v>0.14000000000000001</v>
      </c>
      <c r="D263" s="621" t="s">
        <v>308</v>
      </c>
      <c r="E263" s="621">
        <v>9.9000000000000005E-2</v>
      </c>
      <c r="F263" s="111">
        <v>0.11600000000000001</v>
      </c>
      <c r="G263" s="111">
        <v>0.09</v>
      </c>
      <c r="H263" s="111">
        <v>0.11107228927280925</v>
      </c>
      <c r="I263" s="112">
        <v>0.13219049564381885</v>
      </c>
      <c r="J263" s="102">
        <v>11</v>
      </c>
      <c r="K263" s="31"/>
      <c r="L263" s="31"/>
      <c r="M263" s="16"/>
    </row>
    <row r="264" spans="2:14" ht="17.5" x14ac:dyDescent="0.45">
      <c r="B264" s="102" t="s">
        <v>311</v>
      </c>
      <c r="C264" s="519">
        <v>0.15</v>
      </c>
      <c r="D264" s="621" t="s">
        <v>308</v>
      </c>
      <c r="E264" s="621">
        <v>8.4000000000000005E-2</v>
      </c>
      <c r="F264" s="111">
        <v>8.3000000000000004E-2</v>
      </c>
      <c r="G264" s="111">
        <v>0.12</v>
      </c>
      <c r="H264" s="111">
        <v>0.10524532892914693</v>
      </c>
      <c r="I264" s="112">
        <v>6.0994869571342125E-3</v>
      </c>
      <c r="J264" s="102">
        <v>14</v>
      </c>
      <c r="K264" s="31"/>
      <c r="L264" s="31"/>
      <c r="M264" s="16"/>
    </row>
    <row r="265" spans="2:14" ht="17.5" x14ac:dyDescent="0.35">
      <c r="B265" s="102" t="s">
        <v>312</v>
      </c>
      <c r="C265" s="519">
        <v>0.06</v>
      </c>
      <c r="D265" s="621" t="s">
        <v>308</v>
      </c>
      <c r="E265" s="621">
        <v>3.1E-2</v>
      </c>
      <c r="F265" s="111">
        <v>2.9000000000000001E-2</v>
      </c>
      <c r="G265" s="111">
        <v>0.02</v>
      </c>
      <c r="H265" s="111">
        <v>2.3000933633586202E-2</v>
      </c>
      <c r="I265" s="112">
        <v>2.5110066343778728E-2</v>
      </c>
      <c r="J265" s="102">
        <v>2</v>
      </c>
      <c r="K265" s="18"/>
      <c r="L265" s="18"/>
      <c r="M265" s="70"/>
      <c r="N265" s="7"/>
    </row>
    <row r="266" spans="2:14" ht="17.5" x14ac:dyDescent="0.45">
      <c r="B266" s="103" t="s">
        <v>313</v>
      </c>
      <c r="C266" s="520">
        <v>0</v>
      </c>
      <c r="D266" s="622" t="s">
        <v>308</v>
      </c>
      <c r="E266" s="622">
        <v>0</v>
      </c>
      <c r="F266" s="113">
        <v>3.0000000000000001E-3</v>
      </c>
      <c r="G266" s="113">
        <v>0</v>
      </c>
      <c r="H266" s="113">
        <v>0</v>
      </c>
      <c r="I266" s="113">
        <v>0</v>
      </c>
      <c r="J266" s="103">
        <v>0</v>
      </c>
      <c r="K266" s="16"/>
      <c r="L266" s="16"/>
      <c r="M266" s="70"/>
      <c r="N266" s="7"/>
    </row>
    <row r="267" spans="2:14" ht="17.5" x14ac:dyDescent="0.45">
      <c r="B267" s="30"/>
      <c r="C267" s="30"/>
      <c r="D267" s="31"/>
      <c r="E267" s="31"/>
      <c r="F267" s="31"/>
      <c r="G267" s="31"/>
      <c r="H267" s="31"/>
      <c r="I267" s="31"/>
      <c r="J267" s="16"/>
      <c r="K267" s="16"/>
      <c r="L267" s="16"/>
    </row>
    <row r="268" spans="2:14" s="25" customFormat="1" ht="17.5" x14ac:dyDescent="0.45">
      <c r="B268" s="32" t="s">
        <v>241</v>
      </c>
      <c r="C268" s="32"/>
      <c r="D268" s="27"/>
      <c r="E268" s="27"/>
      <c r="F268" s="27"/>
      <c r="G268" s="27"/>
      <c r="H268" s="27"/>
      <c r="I268" s="27"/>
      <c r="J268" s="27"/>
      <c r="K268" s="27"/>
      <c r="L268" s="27"/>
      <c r="M268" s="27"/>
    </row>
    <row r="269" spans="2:14" ht="6" customHeight="1" thickBot="1" x14ac:dyDescent="0.5">
      <c r="B269" s="30"/>
      <c r="C269" s="30"/>
      <c r="D269" s="31"/>
      <c r="E269" s="16"/>
      <c r="F269" s="31"/>
      <c r="G269" s="31"/>
      <c r="H269" s="31"/>
      <c r="I269" s="31"/>
      <c r="J269" s="31"/>
      <c r="K269" s="31"/>
      <c r="L269" s="16"/>
    </row>
    <row r="270" spans="2:14" ht="18" thickBot="1" x14ac:dyDescent="0.4">
      <c r="B270" s="679" t="s">
        <v>46</v>
      </c>
      <c r="C270" s="679" t="s">
        <v>304</v>
      </c>
      <c r="D270" s="669" t="s">
        <v>314</v>
      </c>
      <c r="E270" s="669"/>
      <c r="F270" s="674"/>
      <c r="G270" s="674"/>
      <c r="H270" s="674"/>
      <c r="I270" s="674"/>
      <c r="J270" s="18"/>
      <c r="K270" s="68"/>
      <c r="L270" s="70"/>
      <c r="M270" s="7"/>
    </row>
    <row r="271" spans="2:14" ht="17.5" x14ac:dyDescent="0.45">
      <c r="B271" s="680"/>
      <c r="C271" s="680"/>
      <c r="D271" s="632" t="s">
        <v>296</v>
      </c>
      <c r="E271" s="632" t="s">
        <v>297</v>
      </c>
      <c r="F271" s="69"/>
      <c r="G271" s="513"/>
      <c r="H271" s="69"/>
      <c r="I271" s="69"/>
      <c r="J271" s="16"/>
      <c r="K271" s="68"/>
      <c r="L271" s="70"/>
      <c r="M271" s="7"/>
    </row>
    <row r="272" spans="2:14" ht="17.5" x14ac:dyDescent="0.45">
      <c r="B272" s="114" t="s">
        <v>157</v>
      </c>
      <c r="C272" s="44" t="s">
        <v>32</v>
      </c>
      <c r="D272" s="115">
        <f>SUM(D273:D276)</f>
        <v>974.46399999999994</v>
      </c>
      <c r="E272" s="115">
        <f>SUM(E273:E276)</f>
        <v>9812.85</v>
      </c>
      <c r="F272" s="69"/>
      <c r="G272" s="16"/>
      <c r="H272" s="31"/>
      <c r="I272" s="31"/>
      <c r="J272" s="16"/>
      <c r="K272" s="68"/>
      <c r="L272" s="16"/>
    </row>
    <row r="273" spans="2:14" ht="32" x14ac:dyDescent="0.45">
      <c r="B273" s="92" t="s">
        <v>158</v>
      </c>
      <c r="C273" s="33" t="s">
        <v>315</v>
      </c>
      <c r="D273" s="514">
        <v>242.05</v>
      </c>
      <c r="E273" s="514">
        <v>2437.44</v>
      </c>
      <c r="F273" s="69"/>
      <c r="G273" s="16"/>
      <c r="I273" s="31"/>
      <c r="J273" s="16"/>
      <c r="K273" s="68"/>
      <c r="L273" s="16"/>
    </row>
    <row r="274" spans="2:14" ht="17.5" x14ac:dyDescent="0.45">
      <c r="B274" s="92"/>
      <c r="C274" s="33" t="s">
        <v>316</v>
      </c>
      <c r="D274" s="515">
        <v>732.41399999999999</v>
      </c>
      <c r="E274" s="514">
        <v>7375.41</v>
      </c>
      <c r="F274" s="16"/>
      <c r="G274" s="16"/>
      <c r="I274" s="31"/>
      <c r="J274" s="70"/>
      <c r="K274" s="70"/>
      <c r="L274" s="16"/>
      <c r="N274" s="7"/>
    </row>
    <row r="275" spans="2:14" ht="32" x14ac:dyDescent="0.45">
      <c r="B275" s="92"/>
      <c r="C275" s="33" t="s">
        <v>317</v>
      </c>
      <c r="D275" s="514">
        <v>0</v>
      </c>
      <c r="E275" s="514">
        <v>0</v>
      </c>
      <c r="F275" s="16"/>
      <c r="G275" s="16"/>
      <c r="H275" s="31"/>
      <c r="I275" s="31"/>
      <c r="J275" s="70"/>
      <c r="K275" s="70"/>
      <c r="L275" s="70"/>
      <c r="M275" s="7"/>
      <c r="N275" s="7"/>
    </row>
    <row r="276" spans="2:14" ht="17.5" x14ac:dyDescent="0.45">
      <c r="B276" s="117"/>
      <c r="C276" s="47" t="s">
        <v>318</v>
      </c>
      <c r="D276" s="516">
        <v>0</v>
      </c>
      <c r="E276" s="517">
        <v>0</v>
      </c>
      <c r="F276" s="16"/>
      <c r="G276" s="39"/>
      <c r="H276" s="39"/>
      <c r="I276" s="31"/>
      <c r="J276" s="68"/>
      <c r="K276" s="16"/>
      <c r="L276" s="70"/>
      <c r="M276" s="7"/>
    </row>
    <row r="277" spans="2:14" ht="17.5" x14ac:dyDescent="0.45">
      <c r="B277" s="114" t="s">
        <v>157</v>
      </c>
      <c r="C277" s="44" t="s">
        <v>32</v>
      </c>
      <c r="D277" s="518">
        <f>SUM(D278:D281)</f>
        <v>1008.5899999999999</v>
      </c>
      <c r="E277" s="518">
        <f>SUM(E278:E281)</f>
        <v>10156.49</v>
      </c>
      <c r="F277" s="69"/>
      <c r="G277" s="16"/>
      <c r="H277" s="31"/>
      <c r="I277" s="31"/>
      <c r="J277" s="16"/>
      <c r="K277" s="68"/>
      <c r="L277" s="16"/>
    </row>
    <row r="278" spans="2:14" ht="32" x14ac:dyDescent="0.45">
      <c r="B278" s="92" t="s">
        <v>160</v>
      </c>
      <c r="C278" s="33" t="s">
        <v>315</v>
      </c>
      <c r="D278" s="514">
        <v>242.05</v>
      </c>
      <c r="E278" s="514">
        <v>2437.44</v>
      </c>
      <c r="F278" s="69"/>
      <c r="G278" s="16"/>
      <c r="I278" s="31"/>
      <c r="J278" s="16"/>
      <c r="K278" s="68"/>
      <c r="L278" s="16"/>
    </row>
    <row r="279" spans="2:14" ht="17.5" x14ac:dyDescent="0.45">
      <c r="B279" s="92"/>
      <c r="C279" s="33" t="s">
        <v>316</v>
      </c>
      <c r="D279" s="515">
        <v>732.41399999999999</v>
      </c>
      <c r="E279" s="514">
        <v>7375.41</v>
      </c>
      <c r="F279" s="16"/>
      <c r="G279" s="16"/>
      <c r="I279" s="31"/>
      <c r="J279" s="70"/>
      <c r="K279" s="70"/>
      <c r="L279" s="16"/>
      <c r="N279" s="7"/>
    </row>
    <row r="280" spans="2:14" ht="32" x14ac:dyDescent="0.45">
      <c r="B280" s="92"/>
      <c r="C280" s="33" t="s">
        <v>317</v>
      </c>
      <c r="D280" s="514">
        <v>34.125999999999998</v>
      </c>
      <c r="E280" s="514">
        <v>343.64</v>
      </c>
      <c r="F280" s="16"/>
      <c r="G280" s="16"/>
      <c r="H280" s="31"/>
      <c r="I280" s="31"/>
      <c r="J280" s="70"/>
      <c r="K280" s="70"/>
      <c r="L280" s="70"/>
      <c r="M280" s="7"/>
      <c r="N280" s="7"/>
    </row>
    <row r="281" spans="2:14" ht="18" thickBot="1" x14ac:dyDescent="0.5">
      <c r="B281" s="117"/>
      <c r="C281" s="47" t="s">
        <v>318</v>
      </c>
      <c r="D281" s="516">
        <v>0</v>
      </c>
      <c r="E281" s="517">
        <v>0</v>
      </c>
      <c r="F281" s="16"/>
      <c r="G281" s="39"/>
      <c r="H281" s="39"/>
      <c r="I281" s="31"/>
      <c r="J281" s="68"/>
      <c r="K281" s="16"/>
      <c r="L281" s="70"/>
      <c r="M281" s="7"/>
    </row>
    <row r="282" spans="2:14" ht="17.5" x14ac:dyDescent="0.45">
      <c r="B282" s="114" t="s">
        <v>35</v>
      </c>
      <c r="C282" s="44" t="s">
        <v>32</v>
      </c>
      <c r="D282" s="587">
        <f>SUM(D283:D286)</f>
        <v>706.23299999999995</v>
      </c>
      <c r="E282" s="588">
        <f>E283+E284</f>
        <v>7111.768</v>
      </c>
      <c r="F282" s="16"/>
      <c r="G282" s="39"/>
      <c r="H282" s="39"/>
      <c r="I282" s="31"/>
      <c r="J282" s="68"/>
      <c r="K282" s="16"/>
      <c r="L282" s="70"/>
      <c r="M282" s="7"/>
    </row>
    <row r="283" spans="2:14" ht="31" x14ac:dyDescent="0.45">
      <c r="B283" s="92"/>
      <c r="C283" s="412" t="s">
        <v>319</v>
      </c>
      <c r="D283" s="585">
        <f>D288</f>
        <v>153.22300000000001</v>
      </c>
      <c r="E283" s="586">
        <f>E288</f>
        <v>1542.96</v>
      </c>
      <c r="F283" s="16"/>
      <c r="G283" s="39"/>
      <c r="H283" s="39"/>
      <c r="I283" s="31"/>
      <c r="J283" s="68"/>
      <c r="K283" s="16"/>
      <c r="L283" s="70"/>
      <c r="M283" s="7"/>
    </row>
    <row r="284" spans="2:14" ht="17.5" x14ac:dyDescent="0.45">
      <c r="B284" s="92"/>
      <c r="C284" s="33" t="s">
        <v>316</v>
      </c>
      <c r="D284" s="585">
        <f>D289</f>
        <v>553.01</v>
      </c>
      <c r="E284" s="586">
        <f>E289</f>
        <v>5568.808</v>
      </c>
      <c r="F284" s="16"/>
      <c r="G284" s="39"/>
      <c r="H284" s="39"/>
      <c r="I284" s="31"/>
      <c r="J284" s="68"/>
      <c r="K284" s="16"/>
      <c r="L284" s="70"/>
      <c r="M284" s="7"/>
    </row>
    <row r="285" spans="2:14" ht="32" x14ac:dyDescent="0.45">
      <c r="B285" s="92"/>
      <c r="C285" s="33" t="s">
        <v>317</v>
      </c>
      <c r="D285" s="585">
        <v>0</v>
      </c>
      <c r="E285" s="586">
        <v>0</v>
      </c>
      <c r="F285" s="16"/>
      <c r="G285" s="39"/>
      <c r="H285" s="39"/>
      <c r="I285" s="31"/>
      <c r="J285" s="68"/>
      <c r="K285" s="16"/>
      <c r="L285" s="70"/>
      <c r="M285" s="7"/>
    </row>
    <row r="286" spans="2:14" ht="18" thickBot="1" x14ac:dyDescent="0.5">
      <c r="B286" s="117"/>
      <c r="C286" s="47" t="s">
        <v>318</v>
      </c>
      <c r="D286" s="585">
        <v>0</v>
      </c>
      <c r="E286" s="586">
        <v>0</v>
      </c>
      <c r="F286" s="16"/>
      <c r="G286" s="39"/>
      <c r="H286" s="39"/>
      <c r="I286" s="31"/>
      <c r="J286" s="68"/>
      <c r="K286" s="16"/>
      <c r="L286" s="70"/>
      <c r="M286" s="7"/>
    </row>
    <row r="287" spans="2:14" ht="17.5" x14ac:dyDescent="0.45">
      <c r="B287" s="114" t="s">
        <v>36</v>
      </c>
      <c r="C287" s="44" t="s">
        <v>32</v>
      </c>
      <c r="D287" s="115">
        <f>SUM(D288:D291)</f>
        <v>1072.289</v>
      </c>
      <c r="E287" s="115">
        <f>SUM(E288:E291)</f>
        <v>10797.942999999999</v>
      </c>
      <c r="F287" s="69"/>
      <c r="G287" s="16"/>
      <c r="H287" s="31"/>
      <c r="I287" s="31"/>
      <c r="J287" s="16"/>
      <c r="K287" s="68"/>
      <c r="L287" s="16"/>
    </row>
    <row r="288" spans="2:14" ht="31" x14ac:dyDescent="0.45">
      <c r="B288" s="92"/>
      <c r="C288" s="412" t="s">
        <v>319</v>
      </c>
      <c r="D288" s="91">
        <v>153.22300000000001</v>
      </c>
      <c r="E288" s="91">
        <v>1542.96</v>
      </c>
      <c r="F288" s="69"/>
      <c r="G288" s="16"/>
      <c r="I288" s="31"/>
      <c r="J288" s="16"/>
      <c r="K288" s="68"/>
      <c r="L288" s="31"/>
      <c r="M288" s="1"/>
    </row>
    <row r="289" spans="2:14" ht="17.5" x14ac:dyDescent="0.45">
      <c r="B289" s="92"/>
      <c r="C289" s="33" t="s">
        <v>316</v>
      </c>
      <c r="D289" s="91">
        <v>553.01</v>
      </c>
      <c r="E289" s="91">
        <v>5568.808</v>
      </c>
      <c r="F289" s="16"/>
      <c r="G289" s="16"/>
      <c r="I289" s="31"/>
      <c r="L289" s="31"/>
      <c r="N289" s="7"/>
    </row>
    <row r="290" spans="2:14" ht="32" x14ac:dyDescent="0.45">
      <c r="B290" s="92"/>
      <c r="C290" s="33" t="s">
        <v>317</v>
      </c>
      <c r="D290" s="91">
        <v>35.695</v>
      </c>
      <c r="E290" s="91">
        <v>359.44</v>
      </c>
      <c r="F290" s="16"/>
      <c r="G290" s="16"/>
      <c r="H290" s="31"/>
      <c r="I290" s="31"/>
      <c r="L290" s="31"/>
      <c r="N290" s="7"/>
    </row>
    <row r="291" spans="2:14" ht="18" thickBot="1" x14ac:dyDescent="0.5">
      <c r="B291" s="117"/>
      <c r="C291" s="47" t="s">
        <v>318</v>
      </c>
      <c r="D291" s="118">
        <v>330.36099999999999</v>
      </c>
      <c r="E291" s="108">
        <v>3326.7350000000001</v>
      </c>
      <c r="F291" s="16"/>
      <c r="G291" s="39"/>
      <c r="H291" s="39"/>
      <c r="I291" s="31"/>
      <c r="L291" s="16"/>
    </row>
    <row r="292" spans="2:14" ht="17.5" x14ac:dyDescent="0.45">
      <c r="B292" s="114" t="s">
        <v>37</v>
      </c>
      <c r="C292" s="44" t="s">
        <v>32</v>
      </c>
      <c r="D292" s="115">
        <f>SUM(D293:D296)</f>
        <v>967.24499999999989</v>
      </c>
      <c r="E292" s="116">
        <f>D292*10.07</f>
        <v>9740.1571499999991</v>
      </c>
      <c r="F292" s="69"/>
      <c r="G292" s="16"/>
      <c r="H292" s="31"/>
      <c r="I292" s="31"/>
      <c r="L292" s="16"/>
    </row>
    <row r="293" spans="2:14" ht="37.15" customHeight="1" x14ac:dyDescent="0.45">
      <c r="B293" s="92"/>
      <c r="C293" s="412" t="s">
        <v>319</v>
      </c>
      <c r="D293" s="91">
        <f>100738/1000</f>
        <v>100.738</v>
      </c>
      <c r="E293" s="91">
        <f t="shared" ref="E293:E296" si="27">D293*10.07</f>
        <v>1014.4316600000001</v>
      </c>
      <c r="F293" s="69"/>
      <c r="G293" s="16"/>
      <c r="H293" s="31"/>
      <c r="I293" s="31"/>
      <c r="L293" s="16"/>
    </row>
    <row r="294" spans="2:14" ht="17.5" x14ac:dyDescent="0.45">
      <c r="B294" s="92"/>
      <c r="C294" s="33" t="s">
        <v>316</v>
      </c>
      <c r="D294" s="91">
        <f>518591/1000</f>
        <v>518.59100000000001</v>
      </c>
      <c r="E294" s="91">
        <f t="shared" si="27"/>
        <v>5222.21137</v>
      </c>
      <c r="F294" s="16"/>
      <c r="G294" s="16"/>
      <c r="H294" s="31"/>
      <c r="I294" s="31"/>
      <c r="J294" s="70"/>
      <c r="K294" s="70"/>
      <c r="L294" s="16"/>
      <c r="N294" s="7"/>
    </row>
    <row r="295" spans="2:14" ht="32" x14ac:dyDescent="0.45">
      <c r="B295" s="92"/>
      <c r="C295" s="33" t="s">
        <v>317</v>
      </c>
      <c r="D295" s="91">
        <f>33601/1000</f>
        <v>33.600999999999999</v>
      </c>
      <c r="E295" s="91">
        <f t="shared" si="27"/>
        <v>338.36207000000002</v>
      </c>
      <c r="F295" s="16"/>
      <c r="G295" s="16"/>
      <c r="H295" s="31"/>
      <c r="I295" s="31"/>
      <c r="J295" s="70"/>
      <c r="K295" s="70"/>
      <c r="L295" s="16"/>
      <c r="N295" s="7"/>
    </row>
    <row r="296" spans="2:14" ht="18" thickBot="1" x14ac:dyDescent="0.5">
      <c r="B296" s="117"/>
      <c r="C296" s="47" t="s">
        <v>318</v>
      </c>
      <c r="D296" s="118">
        <f>314315/1000</f>
        <v>314.315</v>
      </c>
      <c r="E296" s="108">
        <f t="shared" si="27"/>
        <v>3165.1520500000001</v>
      </c>
      <c r="F296" s="16"/>
      <c r="G296" s="39"/>
      <c r="H296" s="39"/>
      <c r="I296" s="31"/>
      <c r="J296" s="68"/>
      <c r="K296" s="16"/>
      <c r="L296" s="16"/>
    </row>
    <row r="297" spans="2:14" ht="17.5" x14ac:dyDescent="0.45">
      <c r="B297" s="114" t="s">
        <v>57</v>
      </c>
      <c r="C297" s="44" t="s">
        <v>32</v>
      </c>
      <c r="D297" s="44">
        <f>SUM(D298:D302)</f>
        <v>653.72999999999979</v>
      </c>
      <c r="E297" s="116">
        <f>SUM(E298:E302)</f>
        <v>9389.9573019074905</v>
      </c>
      <c r="F297" s="69"/>
      <c r="G297" s="16"/>
      <c r="H297" s="31"/>
      <c r="I297" s="31"/>
      <c r="J297" s="16"/>
      <c r="K297" s="68"/>
      <c r="L297" s="16"/>
      <c r="N297" s="1"/>
    </row>
    <row r="298" spans="2:14" ht="31" x14ac:dyDescent="0.45">
      <c r="B298" s="92"/>
      <c r="C298" s="412" t="s">
        <v>319</v>
      </c>
      <c r="D298" s="91">
        <v>97.17</v>
      </c>
      <c r="E298" s="403">
        <v>886.88805550714835</v>
      </c>
      <c r="F298" s="69"/>
      <c r="G298" s="16"/>
      <c r="H298" s="31"/>
      <c r="I298" s="31"/>
      <c r="J298" s="16"/>
      <c r="K298" s="68"/>
      <c r="L298" s="16"/>
    </row>
    <row r="299" spans="2:14" ht="17.5" x14ac:dyDescent="0.45">
      <c r="B299" s="92"/>
      <c r="C299" s="33" t="s">
        <v>316</v>
      </c>
      <c r="D299" s="91">
        <v>541.9</v>
      </c>
      <c r="E299" s="403">
        <v>5131.9093621199809</v>
      </c>
      <c r="F299" s="16"/>
      <c r="G299" s="16"/>
      <c r="H299" s="31"/>
      <c r="I299" s="31"/>
      <c r="J299" s="70"/>
      <c r="K299" s="70"/>
      <c r="L299" s="16"/>
    </row>
    <row r="300" spans="2:14" ht="32" x14ac:dyDescent="0.45">
      <c r="B300" s="92"/>
      <c r="C300" s="33" t="s">
        <v>317</v>
      </c>
      <c r="D300" s="91">
        <v>12.3</v>
      </c>
      <c r="E300" s="403">
        <v>231.92833424934821</v>
      </c>
      <c r="F300" s="16"/>
      <c r="G300" s="16"/>
      <c r="H300" s="31"/>
      <c r="I300" s="31"/>
      <c r="J300" s="70"/>
      <c r="K300" s="70"/>
      <c r="L300" s="16"/>
    </row>
    <row r="301" spans="2:14" ht="17.5" x14ac:dyDescent="0.45">
      <c r="B301" s="92"/>
      <c r="C301" s="33" t="s">
        <v>318</v>
      </c>
      <c r="D301" s="91">
        <v>2.06</v>
      </c>
      <c r="E301" s="403">
        <v>3136.5153583257661</v>
      </c>
      <c r="F301" s="16"/>
      <c r="G301" s="39"/>
      <c r="H301" s="39"/>
      <c r="I301" s="31"/>
      <c r="J301" s="68"/>
      <c r="K301" s="16"/>
    </row>
    <row r="302" spans="2:14" ht="48.5" thickBot="1" x14ac:dyDescent="0.5">
      <c r="B302" s="92"/>
      <c r="C302" s="33" t="s">
        <v>320</v>
      </c>
      <c r="D302" s="119">
        <v>0.3</v>
      </c>
      <c r="E302" s="404">
        <v>2.7161917052478208</v>
      </c>
      <c r="F302" s="16"/>
      <c r="G302" s="39"/>
      <c r="H302" s="39"/>
      <c r="I302" s="31"/>
    </row>
    <row r="303" spans="2:14" ht="17.5" x14ac:dyDescent="0.45">
      <c r="B303" s="114" t="s">
        <v>39</v>
      </c>
      <c r="C303" s="44" t="s">
        <v>32</v>
      </c>
      <c r="D303" s="120">
        <v>567</v>
      </c>
      <c r="E303" s="115">
        <f>SUM(E304:E308)</f>
        <v>10690.238847572507</v>
      </c>
      <c r="F303" s="31"/>
      <c r="G303" s="69"/>
      <c r="H303" s="18"/>
      <c r="I303" s="18"/>
    </row>
    <row r="304" spans="2:14" ht="31" x14ac:dyDescent="0.45">
      <c r="B304" s="92"/>
      <c r="C304" s="412" t="s">
        <v>319</v>
      </c>
      <c r="D304" s="79">
        <v>97.57</v>
      </c>
      <c r="E304" s="405">
        <v>978.48951804807655</v>
      </c>
      <c r="F304" s="16"/>
      <c r="G304" s="19"/>
      <c r="H304" s="16"/>
      <c r="I304" s="16"/>
      <c r="L304" s="16"/>
    </row>
    <row r="305" spans="2:12" ht="17.5" x14ac:dyDescent="0.45">
      <c r="B305" s="92"/>
      <c r="C305" s="33" t="s">
        <v>316</v>
      </c>
      <c r="D305" s="33">
        <v>454.72</v>
      </c>
      <c r="E305" s="406">
        <v>6448.3</v>
      </c>
      <c r="F305" s="16"/>
      <c r="G305" s="628"/>
      <c r="H305" s="16"/>
      <c r="I305" s="16"/>
      <c r="L305" s="16"/>
    </row>
    <row r="306" spans="2:12" ht="32" x14ac:dyDescent="0.45">
      <c r="B306" s="92"/>
      <c r="C306" s="33" t="s">
        <v>317</v>
      </c>
      <c r="D306" s="101">
        <v>12.1</v>
      </c>
      <c r="E306" s="406">
        <v>123.90374234133654</v>
      </c>
      <c r="F306" s="16"/>
      <c r="G306" s="628"/>
      <c r="H306" s="16"/>
      <c r="I306" s="16"/>
      <c r="L306" s="16"/>
    </row>
    <row r="307" spans="2:12" ht="17.5" x14ac:dyDescent="0.45">
      <c r="B307" s="92"/>
      <c r="C307" s="412" t="s">
        <v>321</v>
      </c>
      <c r="D307" s="33">
        <f>D301</f>
        <v>2.06</v>
      </c>
      <c r="E307" s="403">
        <f>E301</f>
        <v>3136.5153583257661</v>
      </c>
      <c r="F307" s="16"/>
      <c r="G307" s="628"/>
      <c r="H307" s="16"/>
      <c r="I307" s="70"/>
      <c r="J307" s="16"/>
      <c r="K307" s="31"/>
      <c r="L307" s="16"/>
    </row>
    <row r="308" spans="2:12" ht="48.5" thickBot="1" x14ac:dyDescent="0.5">
      <c r="B308" s="117"/>
      <c r="C308" s="47" t="s">
        <v>320</v>
      </c>
      <c r="D308" s="80">
        <v>0.33</v>
      </c>
      <c r="E308" s="407">
        <v>3.030228857326795</v>
      </c>
      <c r="F308" s="16"/>
      <c r="G308" s="628"/>
      <c r="H308" s="16"/>
      <c r="I308" s="70"/>
      <c r="J308" s="39"/>
      <c r="K308" s="16"/>
      <c r="L308" s="16"/>
    </row>
    <row r="309" spans="2:12" ht="17.5" x14ac:dyDescent="0.45">
      <c r="B309" s="16"/>
      <c r="C309" s="16"/>
      <c r="D309" s="16"/>
      <c r="E309" s="16"/>
      <c r="F309" s="16"/>
      <c r="G309" s="628"/>
      <c r="H309" s="16"/>
      <c r="I309" s="16"/>
      <c r="J309" s="31"/>
      <c r="K309" s="31"/>
      <c r="L309" s="16"/>
    </row>
    <row r="310" spans="2:12" s="25" customFormat="1" ht="21" x14ac:dyDescent="0.45">
      <c r="B310" s="187" t="s">
        <v>322</v>
      </c>
      <c r="C310" s="187"/>
      <c r="D310" s="27"/>
      <c r="E310" s="27"/>
      <c r="F310" s="27"/>
      <c r="G310" s="27"/>
      <c r="H310" s="27"/>
      <c r="I310" s="27"/>
      <c r="J310" s="27"/>
      <c r="K310" s="27"/>
      <c r="L310" s="40"/>
    </row>
    <row r="311" spans="2:12" ht="6.65" customHeight="1" x14ac:dyDescent="0.45">
      <c r="B311" s="62"/>
      <c r="C311" s="62"/>
      <c r="D311" s="31"/>
      <c r="E311" s="31"/>
      <c r="F311" s="31"/>
      <c r="G311" s="31"/>
      <c r="H311" s="31"/>
      <c r="I311" s="31"/>
      <c r="J311" s="31"/>
      <c r="K311" s="31"/>
      <c r="L311" s="16"/>
    </row>
    <row r="312" spans="2:12" s="25" customFormat="1" ht="17.5" x14ac:dyDescent="0.45">
      <c r="B312" s="32" t="s">
        <v>245</v>
      </c>
      <c r="C312" s="32"/>
      <c r="D312" s="27"/>
      <c r="E312" s="27"/>
      <c r="F312" s="27"/>
      <c r="G312" s="27"/>
      <c r="H312" s="27"/>
      <c r="I312" s="27"/>
      <c r="J312" s="27"/>
      <c r="K312" s="27"/>
      <c r="L312" s="40"/>
    </row>
    <row r="313" spans="2:12" ht="6" customHeight="1" thickBot="1" x14ac:dyDescent="0.5">
      <c r="B313" s="30"/>
      <c r="C313" s="30"/>
      <c r="D313" s="31"/>
      <c r="E313" s="16"/>
      <c r="F313" s="31"/>
      <c r="G313" s="31"/>
      <c r="H313" s="31"/>
      <c r="I313" s="31"/>
      <c r="J313" s="31"/>
      <c r="K313" s="31"/>
      <c r="L313" s="16"/>
    </row>
    <row r="314" spans="2:12" ht="17.5" x14ac:dyDescent="0.45">
      <c r="B314" s="631" t="s">
        <v>46</v>
      </c>
      <c r="C314" s="631" t="s">
        <v>275</v>
      </c>
      <c r="D314" s="631" t="s">
        <v>323</v>
      </c>
      <c r="E314" s="631" t="s">
        <v>324</v>
      </c>
      <c r="F314" s="631" t="s">
        <v>325</v>
      </c>
      <c r="G314" s="31"/>
      <c r="H314" s="31"/>
      <c r="I314" s="31"/>
      <c r="J314" s="31"/>
      <c r="K314" s="31"/>
      <c r="L314" s="16"/>
    </row>
    <row r="315" spans="2:12" ht="17.5" x14ac:dyDescent="0.45">
      <c r="B315" s="42" t="s">
        <v>157</v>
      </c>
      <c r="C315" s="42" t="s">
        <v>32</v>
      </c>
      <c r="D315" s="75">
        <f>SUM(D316:D318)</f>
        <v>48183.1</v>
      </c>
      <c r="E315" s="75">
        <f>SUM(E316:E318)</f>
        <v>75209.899999999994</v>
      </c>
      <c r="F315" s="75">
        <f>SUM(F316:F318)</f>
        <v>31</v>
      </c>
      <c r="G315" s="16"/>
      <c r="H315" s="31"/>
      <c r="I315" s="31"/>
      <c r="J315" s="31"/>
      <c r="K315" s="31"/>
      <c r="L315" s="16"/>
    </row>
    <row r="316" spans="2:12" ht="17.5" x14ac:dyDescent="0.45">
      <c r="B316" s="33" t="s">
        <v>158</v>
      </c>
      <c r="C316" s="33" t="s">
        <v>286</v>
      </c>
      <c r="D316" s="509">
        <f>1078.6+46893</f>
        <v>47971.6</v>
      </c>
      <c r="E316" s="509">
        <f>72327.8+2500.4</f>
        <v>74828.2</v>
      </c>
      <c r="F316" s="509">
        <v>31</v>
      </c>
      <c r="G316" s="128"/>
      <c r="H316" s="31"/>
      <c r="I316" s="31"/>
      <c r="J316" s="31"/>
      <c r="K316" s="31"/>
      <c r="L316" s="16"/>
    </row>
    <row r="317" spans="2:12" ht="17.5" x14ac:dyDescent="0.45">
      <c r="B317" s="33"/>
      <c r="C317" s="33" t="s">
        <v>287</v>
      </c>
      <c r="D317" s="509">
        <v>210.1</v>
      </c>
      <c r="E317" s="509">
        <v>381.7</v>
      </c>
      <c r="F317" s="509">
        <v>0</v>
      </c>
      <c r="G317" s="31"/>
      <c r="H317" s="31"/>
      <c r="I317" s="31"/>
      <c r="J317" s="31"/>
      <c r="K317" s="31"/>
      <c r="L317" s="16"/>
    </row>
    <row r="318" spans="2:12" ht="17.5" x14ac:dyDescent="0.45">
      <c r="B318" s="217"/>
      <c r="C318" s="217" t="s">
        <v>72</v>
      </c>
      <c r="D318" s="510">
        <v>1.4</v>
      </c>
      <c r="E318" s="510">
        <v>0</v>
      </c>
      <c r="F318" s="510">
        <v>0</v>
      </c>
      <c r="G318" s="31"/>
      <c r="H318" s="31"/>
      <c r="I318" s="31"/>
      <c r="J318" s="18"/>
      <c r="K318" s="31"/>
      <c r="L318" s="16"/>
    </row>
    <row r="319" spans="2:12" ht="17.5" x14ac:dyDescent="0.45">
      <c r="B319" s="42" t="s">
        <v>157</v>
      </c>
      <c r="C319" s="42" t="s">
        <v>32</v>
      </c>
      <c r="D319" s="511">
        <f>SUM(D320:D322)</f>
        <v>50197.299999999996</v>
      </c>
      <c r="E319" s="511">
        <f>SUM(E320:E322)</f>
        <v>75447.899999999994</v>
      </c>
      <c r="F319" s="511">
        <f>SUM(F320:F322)</f>
        <v>31</v>
      </c>
      <c r="G319" s="16"/>
      <c r="H319" s="31"/>
      <c r="I319" s="31"/>
      <c r="J319" s="31"/>
      <c r="K319" s="31"/>
      <c r="L319" s="16"/>
    </row>
    <row r="320" spans="2:12" ht="17.5" x14ac:dyDescent="0.45">
      <c r="B320" s="33" t="s">
        <v>160</v>
      </c>
      <c r="C320" s="33" t="s">
        <v>286</v>
      </c>
      <c r="D320" s="509">
        <f>D316</f>
        <v>47971.6</v>
      </c>
      <c r="E320" s="509">
        <f>E316</f>
        <v>74828.2</v>
      </c>
      <c r="F320" s="509">
        <f>F316</f>
        <v>31</v>
      </c>
      <c r="G320" s="128"/>
      <c r="H320" s="31"/>
      <c r="I320" s="31"/>
      <c r="J320" s="31"/>
      <c r="K320" s="31"/>
      <c r="L320" s="16"/>
    </row>
    <row r="321" spans="2:12" ht="17.5" x14ac:dyDescent="0.45">
      <c r="B321" s="33"/>
      <c r="C321" s="33" t="s">
        <v>287</v>
      </c>
      <c r="D321" s="509">
        <f>2014.6+D317</f>
        <v>2224.6999999999998</v>
      </c>
      <c r="E321" s="509">
        <f>238+E317</f>
        <v>619.70000000000005</v>
      </c>
      <c r="F321" s="509">
        <v>0</v>
      </c>
      <c r="G321" s="31"/>
      <c r="H321" s="31"/>
      <c r="I321" s="31"/>
      <c r="J321" s="31"/>
      <c r="K321" s="31"/>
      <c r="L321" s="16"/>
    </row>
    <row r="322" spans="2:12" ht="18" thickBot="1" x14ac:dyDescent="0.5">
      <c r="B322" s="589"/>
      <c r="C322" s="589" t="s">
        <v>72</v>
      </c>
      <c r="D322" s="509">
        <v>1</v>
      </c>
      <c r="E322" s="509">
        <v>0</v>
      </c>
      <c r="F322" s="509">
        <v>0</v>
      </c>
      <c r="G322" s="31"/>
      <c r="H322" s="31"/>
      <c r="I322" s="31"/>
      <c r="J322" s="18"/>
      <c r="K322" s="31"/>
      <c r="L322" s="16"/>
    </row>
    <row r="323" spans="2:12" ht="17.5" x14ac:dyDescent="0.45">
      <c r="B323" s="431" t="s">
        <v>35</v>
      </c>
      <c r="C323" s="593" t="s">
        <v>32</v>
      </c>
      <c r="D323" s="616">
        <f t="shared" ref="D323:E323" si="28">SUM(D324:D326)</f>
        <v>13074.865124999997</v>
      </c>
      <c r="E323" s="617">
        <f t="shared" si="28"/>
        <v>50814.243379729742</v>
      </c>
      <c r="F323" s="596">
        <v>7</v>
      </c>
      <c r="G323" s="31"/>
      <c r="H323" s="31"/>
      <c r="I323" s="31"/>
      <c r="J323" s="18"/>
      <c r="K323" s="31"/>
      <c r="L323" s="16"/>
    </row>
    <row r="324" spans="2:12" ht="17.5" x14ac:dyDescent="0.45">
      <c r="B324" s="219" t="s">
        <v>286</v>
      </c>
      <c r="C324" s="594" t="s">
        <v>286</v>
      </c>
      <c r="D324" s="618">
        <f>D328</f>
        <v>13074.865124999997</v>
      </c>
      <c r="E324" s="481">
        <f>E328</f>
        <v>50814.243379729742</v>
      </c>
      <c r="F324" s="590">
        <v>7</v>
      </c>
      <c r="G324" s="31"/>
      <c r="H324" s="31"/>
      <c r="I324" s="31"/>
      <c r="J324" s="18"/>
      <c r="K324" s="31"/>
      <c r="L324" s="16"/>
    </row>
    <row r="325" spans="2:12" ht="17.5" x14ac:dyDescent="0.45">
      <c r="B325" s="219" t="s">
        <v>287</v>
      </c>
      <c r="C325" s="594" t="s">
        <v>287</v>
      </c>
      <c r="D325" s="618">
        <v>0</v>
      </c>
      <c r="E325" s="481">
        <v>0</v>
      </c>
      <c r="F325" s="590">
        <v>0</v>
      </c>
      <c r="G325" s="31"/>
      <c r="H325" s="31"/>
      <c r="I325" s="31"/>
      <c r="J325" s="18"/>
      <c r="K325" s="31"/>
      <c r="L325" s="16"/>
    </row>
    <row r="326" spans="2:12" ht="17.5" x14ac:dyDescent="0.45">
      <c r="B326" s="591" t="s">
        <v>72</v>
      </c>
      <c r="C326" s="595" t="s">
        <v>72</v>
      </c>
      <c r="D326" s="619">
        <v>0</v>
      </c>
      <c r="E326" s="620">
        <v>0</v>
      </c>
      <c r="F326" s="592">
        <v>0</v>
      </c>
      <c r="G326" s="31"/>
      <c r="H326" s="31"/>
      <c r="I326" s="31"/>
      <c r="J326" s="18"/>
      <c r="K326" s="31"/>
      <c r="L326" s="16"/>
    </row>
    <row r="327" spans="2:12" ht="17.5" x14ac:dyDescent="0.45">
      <c r="B327" s="42" t="s">
        <v>36</v>
      </c>
      <c r="C327" s="42" t="s">
        <v>32</v>
      </c>
      <c r="D327" s="75">
        <v>16527.727124999998</v>
      </c>
      <c r="E327" s="75">
        <v>51063.69187972974</v>
      </c>
      <c r="F327" s="75">
        <v>6.7200000000000006</v>
      </c>
      <c r="G327" s="16"/>
      <c r="H327" s="31"/>
      <c r="I327" s="31"/>
      <c r="J327" s="31"/>
      <c r="K327" s="31"/>
      <c r="L327" s="16"/>
    </row>
    <row r="328" spans="2:12" ht="17.5" x14ac:dyDescent="0.45">
      <c r="B328" s="33" t="s">
        <v>286</v>
      </c>
      <c r="C328" s="33" t="s">
        <v>286</v>
      </c>
      <c r="D328" s="34">
        <v>13074.865124999997</v>
      </c>
      <c r="E328" s="34">
        <v>50814.243379729742</v>
      </c>
      <c r="F328" s="34">
        <v>6.7200000000000006</v>
      </c>
      <c r="G328" s="128"/>
      <c r="H328" s="31"/>
      <c r="I328" s="31"/>
      <c r="J328" s="31"/>
      <c r="K328" s="31"/>
      <c r="L328" s="16"/>
    </row>
    <row r="329" spans="2:12" ht="17.5" x14ac:dyDescent="0.45">
      <c r="B329" s="33" t="s">
        <v>287</v>
      </c>
      <c r="C329" s="33" t="s">
        <v>287</v>
      </c>
      <c r="D329" s="34">
        <v>3452.8620000000001</v>
      </c>
      <c r="E329" s="34">
        <v>249.4485</v>
      </c>
      <c r="F329" s="34">
        <v>0</v>
      </c>
      <c r="G329" s="31"/>
      <c r="H329" s="31"/>
      <c r="I329" s="31"/>
      <c r="J329" s="31"/>
      <c r="K329" s="31"/>
      <c r="L329" s="16"/>
    </row>
    <row r="330" spans="2:12" ht="18" thickBot="1" x14ac:dyDescent="0.5">
      <c r="B330" s="217" t="s">
        <v>72</v>
      </c>
      <c r="C330" s="217" t="s">
        <v>72</v>
      </c>
      <c r="D330" s="218">
        <v>0</v>
      </c>
      <c r="E330" s="218">
        <v>0</v>
      </c>
      <c r="F330" s="218">
        <v>0</v>
      </c>
      <c r="G330" s="31"/>
      <c r="H330" s="31"/>
      <c r="I330" s="31"/>
      <c r="J330" s="18"/>
      <c r="K330" s="31"/>
      <c r="L330" s="16"/>
    </row>
    <row r="331" spans="2:12" ht="17.5" x14ac:dyDescent="0.45">
      <c r="B331" s="42" t="s">
        <v>37</v>
      </c>
      <c r="C331" s="42" t="s">
        <v>32</v>
      </c>
      <c r="D331" s="75">
        <f>SUM(D332:D334)</f>
        <v>27079.262675454553</v>
      </c>
      <c r="E331" s="75">
        <f>SUM(E332:E334)</f>
        <v>66504.263493366088</v>
      </c>
      <c r="F331" s="75">
        <f>SUM(F332:F334)</f>
        <v>4108</v>
      </c>
      <c r="G331" s="16"/>
      <c r="H331" s="31"/>
      <c r="I331" s="31"/>
      <c r="J331" s="31"/>
      <c r="K331" s="31"/>
      <c r="L331" s="16"/>
    </row>
    <row r="332" spans="2:12" ht="17.5" x14ac:dyDescent="0.45">
      <c r="B332" s="33"/>
      <c r="C332" s="33" t="s">
        <v>286</v>
      </c>
      <c r="D332" s="34">
        <v>24462.807766363643</v>
      </c>
      <c r="E332" s="34">
        <v>63565</v>
      </c>
      <c r="F332" s="34">
        <v>4108</v>
      </c>
      <c r="G332" s="128"/>
      <c r="H332" s="31"/>
      <c r="I332" s="31"/>
      <c r="J332" s="31"/>
      <c r="K332" s="31"/>
      <c r="L332" s="16"/>
    </row>
    <row r="333" spans="2:12" ht="17.5" x14ac:dyDescent="0.45">
      <c r="B333" s="33"/>
      <c r="C333" s="33" t="s">
        <v>287</v>
      </c>
      <c r="D333" s="34">
        <v>1619.1754090909078</v>
      </c>
      <c r="E333" s="34">
        <v>591.57286363636354</v>
      </c>
      <c r="F333" s="34">
        <v>0</v>
      </c>
      <c r="G333" s="31"/>
      <c r="H333" s="31"/>
      <c r="I333" s="31"/>
      <c r="J333" s="31"/>
      <c r="K333" s="31"/>
      <c r="L333" s="16"/>
    </row>
    <row r="334" spans="2:12" ht="18" thickBot="1" x14ac:dyDescent="0.5">
      <c r="B334" s="217"/>
      <c r="C334" s="217" t="s">
        <v>72</v>
      </c>
      <c r="D334" s="218">
        <f>996.555+0.7245</f>
        <v>997.27949999999998</v>
      </c>
      <c r="E334" s="218">
        <f>2339.62662972973+8.064</f>
        <v>2347.6906297297301</v>
      </c>
      <c r="F334" s="218">
        <v>0</v>
      </c>
      <c r="G334" s="31"/>
      <c r="H334" s="31"/>
      <c r="I334" s="31"/>
      <c r="J334" s="18"/>
      <c r="K334" s="31"/>
      <c r="L334" s="16"/>
    </row>
    <row r="335" spans="2:12" ht="17.5" x14ac:dyDescent="0.45">
      <c r="B335" s="42" t="s">
        <v>57</v>
      </c>
      <c r="C335" s="42" t="s">
        <v>32</v>
      </c>
      <c r="D335" s="75">
        <v>29567</v>
      </c>
      <c r="E335" s="121">
        <v>91951</v>
      </c>
      <c r="F335" s="75">
        <v>86</v>
      </c>
      <c r="G335" s="16"/>
      <c r="H335" s="31"/>
      <c r="I335" s="31"/>
      <c r="J335" s="31"/>
      <c r="K335" s="31"/>
      <c r="L335" s="16"/>
    </row>
    <row r="336" spans="2:12" ht="17.5" x14ac:dyDescent="0.45">
      <c r="B336" s="33"/>
      <c r="C336" s="33" t="s">
        <v>286</v>
      </c>
      <c r="D336" s="34">
        <v>26373</v>
      </c>
      <c r="E336" s="122">
        <v>60606</v>
      </c>
      <c r="F336" s="34">
        <v>49</v>
      </c>
      <c r="G336" s="128"/>
      <c r="H336" s="31"/>
      <c r="I336" s="31"/>
      <c r="J336" s="31"/>
      <c r="K336" s="31"/>
      <c r="L336" s="16"/>
    </row>
    <row r="337" spans="2:13" ht="17.5" x14ac:dyDescent="0.45">
      <c r="B337" s="33"/>
      <c r="C337" s="33" t="s">
        <v>287</v>
      </c>
      <c r="D337" s="34">
        <v>2314</v>
      </c>
      <c r="E337" s="122">
        <v>28986</v>
      </c>
      <c r="F337" s="34">
        <v>0</v>
      </c>
      <c r="G337" s="31"/>
      <c r="H337" s="31"/>
      <c r="I337" s="31"/>
      <c r="J337" s="31"/>
      <c r="K337" s="31"/>
      <c r="L337" s="16"/>
    </row>
    <row r="338" spans="2:13" ht="17.5" x14ac:dyDescent="0.45">
      <c r="B338" s="33"/>
      <c r="C338" s="33" t="s">
        <v>73</v>
      </c>
      <c r="D338" s="34">
        <v>879</v>
      </c>
      <c r="E338" s="122">
        <v>2350.8353906916996</v>
      </c>
      <c r="F338" s="34">
        <v>37</v>
      </c>
      <c r="G338" s="31"/>
      <c r="H338" s="31"/>
      <c r="I338" s="31"/>
      <c r="J338" s="18"/>
      <c r="K338" s="16"/>
      <c r="L338" s="16"/>
    </row>
    <row r="339" spans="2:13" ht="18" thickBot="1" x14ac:dyDescent="0.5">
      <c r="B339" s="47"/>
      <c r="C339" s="47" t="s">
        <v>72</v>
      </c>
      <c r="D339" s="76">
        <v>0.72449999999999992</v>
      </c>
      <c r="E339" s="76">
        <v>5</v>
      </c>
      <c r="F339" s="76">
        <v>0</v>
      </c>
      <c r="G339" s="31"/>
      <c r="H339" s="31"/>
      <c r="I339" s="31"/>
      <c r="J339" s="72"/>
      <c r="K339" s="16"/>
      <c r="L339" s="16"/>
    </row>
    <row r="340" spans="2:13" ht="17.5" x14ac:dyDescent="0.45">
      <c r="B340" s="42" t="s">
        <v>302</v>
      </c>
      <c r="C340" s="42" t="s">
        <v>32</v>
      </c>
      <c r="D340" s="123">
        <f>SUM(D341:D343)</f>
        <v>30539.462</v>
      </c>
      <c r="E340" s="123">
        <v>59657</v>
      </c>
      <c r="F340" s="123">
        <f t="shared" ref="F340" si="29">SUM(F341:F343)</f>
        <v>285.6105</v>
      </c>
      <c r="G340" s="71"/>
      <c r="H340" s="31"/>
      <c r="I340" s="31"/>
      <c r="J340" s="73"/>
      <c r="K340" s="16"/>
      <c r="L340" s="31"/>
    </row>
    <row r="341" spans="2:13" ht="32" x14ac:dyDescent="0.45">
      <c r="B341" s="33" t="s">
        <v>326</v>
      </c>
      <c r="C341" s="33" t="s">
        <v>286</v>
      </c>
      <c r="D341" s="124">
        <v>27750</v>
      </c>
      <c r="E341" s="125">
        <v>57056</v>
      </c>
      <c r="F341" s="122">
        <v>238.9905</v>
      </c>
      <c r="G341" s="31"/>
      <c r="H341" s="31"/>
      <c r="I341" s="31"/>
      <c r="J341" s="74"/>
      <c r="K341" s="16"/>
    </row>
    <row r="342" spans="2:13" ht="17.5" x14ac:dyDescent="0.45">
      <c r="B342" s="33"/>
      <c r="C342" s="33" t="s">
        <v>287</v>
      </c>
      <c r="D342" s="124">
        <v>1995.4619999999986</v>
      </c>
      <c r="E342" s="125">
        <v>588.96599999999955</v>
      </c>
      <c r="F342" s="122">
        <v>0</v>
      </c>
      <c r="G342" s="31"/>
      <c r="H342" s="31"/>
      <c r="I342" s="31"/>
      <c r="J342" s="31"/>
      <c r="K342" s="31"/>
    </row>
    <row r="343" spans="2:13" ht="17.5" x14ac:dyDescent="0.45">
      <c r="B343" s="33"/>
      <c r="C343" s="33" t="s">
        <v>73</v>
      </c>
      <c r="D343" s="124">
        <v>794</v>
      </c>
      <c r="E343" s="125">
        <v>2004</v>
      </c>
      <c r="F343" s="124">
        <v>46.620000000000019</v>
      </c>
      <c r="G343" s="31"/>
      <c r="H343" s="31"/>
      <c r="I343" s="31"/>
      <c r="J343" s="16"/>
      <c r="K343" s="31"/>
    </row>
    <row r="344" spans="2:13" ht="18" thickBot="1" x14ac:dyDescent="0.5">
      <c r="B344" s="47"/>
      <c r="C344" s="47" t="s">
        <v>72</v>
      </c>
      <c r="D344" s="76" t="s">
        <v>53</v>
      </c>
      <c r="E344" s="126">
        <v>8.0639999999999983</v>
      </c>
      <c r="F344" s="76">
        <v>0</v>
      </c>
      <c r="G344" s="31"/>
      <c r="H344" s="31"/>
      <c r="I344" s="31"/>
      <c r="J344" s="16"/>
      <c r="K344" s="31"/>
    </row>
    <row r="345" spans="2:13" ht="17.5" x14ac:dyDescent="0.45">
      <c r="B345" s="42" t="s">
        <v>302</v>
      </c>
      <c r="C345" s="42" t="s">
        <v>32</v>
      </c>
      <c r="D345" s="123">
        <v>33436</v>
      </c>
      <c r="E345" s="123">
        <v>65545</v>
      </c>
      <c r="F345" s="123">
        <v>271</v>
      </c>
      <c r="G345" s="31"/>
      <c r="H345" s="72"/>
      <c r="I345" s="72"/>
      <c r="J345" s="16"/>
      <c r="K345" s="31"/>
    </row>
    <row r="346" spans="2:13" ht="17.5" x14ac:dyDescent="0.45">
      <c r="B346" s="33" t="s">
        <v>327</v>
      </c>
      <c r="C346" s="33" t="s">
        <v>286</v>
      </c>
      <c r="D346" s="125">
        <v>30035</v>
      </c>
      <c r="E346" s="125">
        <v>62986</v>
      </c>
      <c r="F346" s="34">
        <v>229</v>
      </c>
      <c r="G346" s="31"/>
      <c r="H346" s="74"/>
      <c r="I346" s="74"/>
      <c r="J346" s="16"/>
      <c r="K346" s="31"/>
    </row>
    <row r="347" spans="2:13" ht="17.5" x14ac:dyDescent="0.45">
      <c r="B347" s="33"/>
      <c r="C347" s="33" t="s">
        <v>287</v>
      </c>
      <c r="D347" s="125">
        <v>1996</v>
      </c>
      <c r="E347" s="125">
        <v>609</v>
      </c>
      <c r="F347" s="34" t="s">
        <v>53</v>
      </c>
      <c r="G347" s="31"/>
      <c r="H347" s="74"/>
      <c r="I347" s="74"/>
      <c r="J347" s="31"/>
      <c r="K347" s="31"/>
    </row>
    <row r="348" spans="2:13" ht="18" thickBot="1" x14ac:dyDescent="0.5">
      <c r="B348" s="47"/>
      <c r="C348" s="47" t="s">
        <v>73</v>
      </c>
      <c r="D348" s="127">
        <v>1405</v>
      </c>
      <c r="E348" s="127">
        <v>1950</v>
      </c>
      <c r="F348" s="127">
        <v>42</v>
      </c>
      <c r="G348" s="31"/>
      <c r="H348" s="74"/>
      <c r="I348" s="74"/>
      <c r="J348" s="31"/>
      <c r="K348" s="31"/>
    </row>
    <row r="349" spans="2:13" ht="17.5" x14ac:dyDescent="0.45">
      <c r="B349" s="30"/>
      <c r="C349" s="30"/>
      <c r="D349" s="31"/>
      <c r="E349" s="31"/>
      <c r="F349" s="31"/>
      <c r="G349" s="31"/>
      <c r="H349" s="31"/>
      <c r="I349" s="31"/>
      <c r="J349" s="31"/>
      <c r="K349" s="31"/>
      <c r="L349" s="16"/>
    </row>
    <row r="350" spans="2:13" s="25" customFormat="1" ht="17.5" x14ac:dyDescent="0.45">
      <c r="B350" s="32" t="s">
        <v>247</v>
      </c>
      <c r="C350" s="32"/>
      <c r="D350" s="27"/>
      <c r="E350" s="27"/>
      <c r="F350" s="27"/>
      <c r="G350" s="27"/>
      <c r="H350" s="27"/>
      <c r="I350" s="27"/>
      <c r="J350" s="27"/>
      <c r="K350" s="27"/>
      <c r="L350" s="40"/>
    </row>
    <row r="351" spans="2:13" ht="6" customHeight="1" thickBot="1" x14ac:dyDescent="0.5">
      <c r="B351" s="30"/>
      <c r="C351" s="30"/>
      <c r="D351" s="31"/>
      <c r="E351" s="16"/>
      <c r="F351" s="31"/>
      <c r="G351" s="31"/>
      <c r="H351" s="31"/>
      <c r="I351" s="31"/>
      <c r="J351" s="31"/>
      <c r="K351" s="31"/>
      <c r="L351" s="16"/>
    </row>
    <row r="352" spans="2:13" ht="32" x14ac:dyDescent="0.45">
      <c r="B352" s="675" t="s">
        <v>328</v>
      </c>
      <c r="C352" s="676"/>
      <c r="D352" s="631" t="s">
        <v>33</v>
      </c>
      <c r="E352" s="631" t="s">
        <v>34</v>
      </c>
      <c r="F352" s="631" t="s">
        <v>35</v>
      </c>
      <c r="G352" s="631" t="s">
        <v>36</v>
      </c>
      <c r="H352" s="631" t="s">
        <v>37</v>
      </c>
      <c r="I352" s="631" t="s">
        <v>57</v>
      </c>
      <c r="J352" s="631" t="s">
        <v>39</v>
      </c>
      <c r="K352" s="628"/>
      <c r="L352" s="628"/>
      <c r="M352" s="31"/>
    </row>
    <row r="353" spans="2:13" ht="30" customHeight="1" x14ac:dyDescent="0.45">
      <c r="B353" s="677" t="s">
        <v>329</v>
      </c>
      <c r="C353" s="678"/>
      <c r="D353" s="509">
        <v>4388</v>
      </c>
      <c r="E353" s="509">
        <v>4388</v>
      </c>
      <c r="F353" s="34">
        <v>10081.61</v>
      </c>
      <c r="G353" s="34">
        <v>10081.61</v>
      </c>
      <c r="H353" s="34">
        <v>3912</v>
      </c>
      <c r="I353" s="34">
        <v>4610</v>
      </c>
      <c r="J353" s="34">
        <v>4901</v>
      </c>
      <c r="K353" s="628"/>
      <c r="L353" s="628"/>
      <c r="M353" s="31"/>
    </row>
    <row r="354" spans="2:13" ht="30" customHeight="1" x14ac:dyDescent="0.45">
      <c r="B354" s="677" t="s">
        <v>330</v>
      </c>
      <c r="C354" s="678"/>
      <c r="D354" s="509">
        <v>0</v>
      </c>
      <c r="E354" s="509">
        <v>0</v>
      </c>
      <c r="F354" s="34" t="s">
        <v>53</v>
      </c>
      <c r="G354" s="34" t="s">
        <v>53</v>
      </c>
      <c r="H354" s="34" t="s">
        <v>53</v>
      </c>
      <c r="I354" s="34" t="s">
        <v>53</v>
      </c>
      <c r="J354" s="34" t="s">
        <v>331</v>
      </c>
      <c r="K354" s="19"/>
      <c r="L354" s="19"/>
      <c r="M354" s="31"/>
    </row>
    <row r="355" spans="2:13" ht="30" customHeight="1" x14ac:dyDescent="0.45">
      <c r="B355" s="672" t="s">
        <v>332</v>
      </c>
      <c r="C355" s="673"/>
      <c r="D355" s="510">
        <v>57647</v>
      </c>
      <c r="E355" s="510">
        <v>57647</v>
      </c>
      <c r="F355" s="76">
        <v>38550.47750450451</v>
      </c>
      <c r="G355" s="76">
        <v>38550.47750450451</v>
      </c>
      <c r="H355" s="76">
        <v>47828</v>
      </c>
      <c r="I355" s="76">
        <v>47219</v>
      </c>
      <c r="J355" s="76">
        <v>48815</v>
      </c>
      <c r="K355" s="31"/>
      <c r="L355" s="31"/>
      <c r="M355" s="31"/>
    </row>
    <row r="356" spans="2:13" ht="17.5" x14ac:dyDescent="0.45">
      <c r="B356" s="30"/>
      <c r="C356" s="30"/>
      <c r="D356" s="31"/>
      <c r="E356" s="31"/>
      <c r="F356" s="31"/>
      <c r="G356" s="31"/>
      <c r="H356" s="31"/>
      <c r="I356" s="31"/>
      <c r="J356" s="31"/>
      <c r="K356" s="31"/>
      <c r="L356" s="31"/>
    </row>
    <row r="357" spans="2:13" s="25" customFormat="1" ht="17.5" x14ac:dyDescent="0.45">
      <c r="B357" s="32" t="s">
        <v>249</v>
      </c>
      <c r="C357" s="32"/>
      <c r="D357" s="27"/>
      <c r="E357" s="27"/>
      <c r="F357" s="27"/>
      <c r="G357" s="27"/>
      <c r="H357" s="27"/>
      <c r="I357" s="27"/>
      <c r="J357" s="27"/>
      <c r="K357" s="27"/>
      <c r="L357" s="40"/>
    </row>
    <row r="358" spans="2:13" ht="6" customHeight="1" thickBot="1" x14ac:dyDescent="0.5">
      <c r="B358" s="30"/>
      <c r="C358" s="30"/>
      <c r="D358" s="31"/>
      <c r="E358" s="16"/>
      <c r="F358" s="31"/>
      <c r="G358" s="31"/>
      <c r="H358" s="31"/>
      <c r="I358" s="31"/>
      <c r="J358" s="31"/>
      <c r="K358" s="31"/>
      <c r="L358" s="16"/>
    </row>
    <row r="359" spans="2:13" ht="48.5" thickBot="1" x14ac:dyDescent="0.5">
      <c r="B359" s="631" t="s">
        <v>46</v>
      </c>
      <c r="C359" s="631" t="s">
        <v>333</v>
      </c>
      <c r="D359" s="631" t="s">
        <v>334</v>
      </c>
      <c r="E359" s="631" t="s">
        <v>335</v>
      </c>
      <c r="F359" s="631" t="s">
        <v>336</v>
      </c>
      <c r="G359" s="631" t="s">
        <v>337</v>
      </c>
      <c r="H359" s="631" t="s">
        <v>338</v>
      </c>
      <c r="I359" s="631" t="s">
        <v>339</v>
      </c>
      <c r="J359" s="631" t="s">
        <v>260</v>
      </c>
      <c r="K359" s="631" t="s">
        <v>340</v>
      </c>
      <c r="L359" s="16"/>
    </row>
    <row r="360" spans="2:13" ht="17.5" x14ac:dyDescent="0.45">
      <c r="B360" s="226" t="s">
        <v>157</v>
      </c>
      <c r="C360" s="228" t="s">
        <v>286</v>
      </c>
      <c r="D360" s="522">
        <v>760</v>
      </c>
      <c r="E360" s="522">
        <f>56887+4388</f>
        <v>61275</v>
      </c>
      <c r="F360" s="522">
        <v>2870</v>
      </c>
      <c r="G360" s="522">
        <v>1086</v>
      </c>
      <c r="H360" s="522">
        <v>5972</v>
      </c>
      <c r="I360" s="522">
        <v>2196</v>
      </c>
      <c r="J360" s="523">
        <f>SUM(D360:I360)</f>
        <v>74159</v>
      </c>
      <c r="K360" s="524">
        <v>579</v>
      </c>
      <c r="L360" s="16"/>
    </row>
    <row r="361" spans="2:13" ht="17.5" x14ac:dyDescent="0.45">
      <c r="B361" s="229" t="s">
        <v>158</v>
      </c>
      <c r="C361" s="33" t="s">
        <v>50</v>
      </c>
      <c r="D361" s="525">
        <v>0</v>
      </c>
      <c r="E361" s="525">
        <v>0</v>
      </c>
      <c r="F361" s="525"/>
      <c r="G361" s="525"/>
      <c r="H361" s="525"/>
      <c r="I361" s="525"/>
      <c r="J361" s="526"/>
      <c r="K361" s="527"/>
      <c r="L361" s="16"/>
    </row>
    <row r="362" spans="2:13" ht="17.5" x14ac:dyDescent="0.45">
      <c r="B362" s="229"/>
      <c r="C362" s="225" t="s">
        <v>72</v>
      </c>
      <c r="D362" s="525">
        <v>0</v>
      </c>
      <c r="E362" s="525">
        <v>0</v>
      </c>
      <c r="F362" s="525"/>
      <c r="G362" s="525"/>
      <c r="H362" s="525"/>
      <c r="I362" s="525"/>
      <c r="J362" s="526"/>
      <c r="K362" s="527"/>
      <c r="L362" s="16"/>
    </row>
    <row r="363" spans="2:13" ht="18" thickBot="1" x14ac:dyDescent="0.5">
      <c r="B363" s="230"/>
      <c r="C363" s="223" t="s">
        <v>260</v>
      </c>
      <c r="D363" s="528">
        <f>SUM(D360:D361)</f>
        <v>760</v>
      </c>
      <c r="E363" s="528">
        <f t="shared" ref="E363:K363" si="30">SUM(E360:E362)</f>
        <v>61275</v>
      </c>
      <c r="F363" s="528">
        <f t="shared" si="30"/>
        <v>2870</v>
      </c>
      <c r="G363" s="528">
        <f t="shared" si="30"/>
        <v>1086</v>
      </c>
      <c r="H363" s="528">
        <f t="shared" si="30"/>
        <v>5972</v>
      </c>
      <c r="I363" s="528">
        <f t="shared" si="30"/>
        <v>2196</v>
      </c>
      <c r="J363" s="528">
        <f t="shared" si="30"/>
        <v>74159</v>
      </c>
      <c r="K363" s="528">
        <f t="shared" si="30"/>
        <v>579</v>
      </c>
      <c r="L363" s="16"/>
    </row>
    <row r="364" spans="2:13" ht="17.5" x14ac:dyDescent="0.45">
      <c r="B364" s="226" t="s">
        <v>157</v>
      </c>
      <c r="C364" s="228" t="s">
        <v>286</v>
      </c>
      <c r="D364" s="522">
        <v>760</v>
      </c>
      <c r="E364" s="522">
        <f>56887+4388</f>
        <v>61275</v>
      </c>
      <c r="F364" s="522">
        <v>2870</v>
      </c>
      <c r="G364" s="522">
        <f>G360</f>
        <v>1086</v>
      </c>
      <c r="H364" s="522">
        <f>H360</f>
        <v>5972</v>
      </c>
      <c r="I364" s="522">
        <f>I360</f>
        <v>2196</v>
      </c>
      <c r="J364" s="522">
        <f>J360</f>
        <v>74159</v>
      </c>
      <c r="K364" s="522">
        <f>K360</f>
        <v>579</v>
      </c>
      <c r="L364" s="16"/>
    </row>
    <row r="365" spans="2:13" ht="17.5" x14ac:dyDescent="0.45">
      <c r="B365" s="229" t="s">
        <v>341</v>
      </c>
      <c r="C365" s="33" t="s">
        <v>50</v>
      </c>
      <c r="D365" s="525">
        <v>0</v>
      </c>
      <c r="E365" s="525"/>
      <c r="F365" s="525">
        <v>1</v>
      </c>
      <c r="G365" s="525"/>
      <c r="H365" s="525">
        <v>237</v>
      </c>
      <c r="I365" s="525"/>
      <c r="J365" s="526">
        <f>SUM(D365:I365)</f>
        <v>238</v>
      </c>
      <c r="K365" s="527"/>
      <c r="L365" s="16"/>
    </row>
    <row r="366" spans="2:13" ht="17.5" x14ac:dyDescent="0.45">
      <c r="B366" s="229"/>
      <c r="C366" s="225" t="s">
        <v>72</v>
      </c>
      <c r="D366" s="525">
        <v>0</v>
      </c>
      <c r="E366" s="525"/>
      <c r="F366" s="525"/>
      <c r="G366" s="525"/>
      <c r="H366" s="525"/>
      <c r="I366" s="525"/>
      <c r="J366" s="526"/>
      <c r="K366" s="527"/>
      <c r="L366" s="16"/>
    </row>
    <row r="367" spans="2:13" ht="18" thickBot="1" x14ac:dyDescent="0.5">
      <c r="B367" s="230"/>
      <c r="C367" s="223" t="s">
        <v>260</v>
      </c>
      <c r="D367" s="222">
        <f>SUM(D364:D366)</f>
        <v>760</v>
      </c>
      <c r="E367" s="222">
        <f t="shared" ref="E367:K367" si="31">SUM(E364:E366)</f>
        <v>61275</v>
      </c>
      <c r="F367" s="222">
        <f t="shared" si="31"/>
        <v>2871</v>
      </c>
      <c r="G367" s="222">
        <f t="shared" si="31"/>
        <v>1086</v>
      </c>
      <c r="H367" s="222">
        <f t="shared" si="31"/>
        <v>6209</v>
      </c>
      <c r="I367" s="222">
        <f t="shared" si="31"/>
        <v>2196</v>
      </c>
      <c r="J367" s="222">
        <f t="shared" si="31"/>
        <v>74397</v>
      </c>
      <c r="K367" s="222">
        <f t="shared" si="31"/>
        <v>579</v>
      </c>
      <c r="L367" s="16"/>
    </row>
    <row r="368" spans="2:13" ht="17.5" x14ac:dyDescent="0.45">
      <c r="B368" s="226" t="s">
        <v>35</v>
      </c>
      <c r="C368" s="228" t="s">
        <v>286</v>
      </c>
      <c r="D368" s="242">
        <v>500</v>
      </c>
      <c r="E368" s="242">
        <v>32810</v>
      </c>
      <c r="F368" s="242">
        <v>1145</v>
      </c>
      <c r="G368" s="242">
        <v>234</v>
      </c>
      <c r="H368" s="242">
        <v>2217</v>
      </c>
      <c r="I368" s="242">
        <v>1407</v>
      </c>
      <c r="J368" s="227">
        <v>48395</v>
      </c>
      <c r="K368" s="243">
        <v>173</v>
      </c>
      <c r="L368" s="16"/>
    </row>
    <row r="369" spans="2:12" ht="17.5" x14ac:dyDescent="0.45">
      <c r="B369" s="229"/>
      <c r="C369" s="33" t="s">
        <v>50</v>
      </c>
      <c r="D369" s="129" t="s">
        <v>53</v>
      </c>
      <c r="E369" s="129" t="s">
        <v>53</v>
      </c>
      <c r="F369" s="129" t="s">
        <v>53</v>
      </c>
      <c r="G369" s="129"/>
      <c r="H369" s="123"/>
      <c r="I369" s="129"/>
      <c r="J369" s="597"/>
      <c r="K369" s="240">
        <v>0</v>
      </c>
      <c r="L369" s="16"/>
    </row>
    <row r="370" spans="2:12" ht="17.5" x14ac:dyDescent="0.45">
      <c r="B370" s="229"/>
      <c r="C370" s="225" t="s">
        <v>72</v>
      </c>
      <c r="D370" s="130" t="s">
        <v>53</v>
      </c>
      <c r="E370" s="130"/>
      <c r="F370" s="130" t="s">
        <v>53</v>
      </c>
      <c r="G370" s="130"/>
      <c r="H370" s="123"/>
      <c r="I370" s="130"/>
      <c r="J370" s="597"/>
      <c r="K370" s="234">
        <v>0</v>
      </c>
      <c r="L370" s="16"/>
    </row>
    <row r="371" spans="2:12" ht="18" thickBot="1" x14ac:dyDescent="0.5">
      <c r="B371" s="230"/>
      <c r="C371" s="223" t="s">
        <v>260</v>
      </c>
      <c r="D371" s="222">
        <v>500</v>
      </c>
      <c r="E371" s="222">
        <v>32810</v>
      </c>
      <c r="F371" s="222">
        <v>1145</v>
      </c>
      <c r="G371" s="222">
        <v>234</v>
      </c>
      <c r="H371" s="222">
        <v>2217</v>
      </c>
      <c r="I371" s="222">
        <v>1407</v>
      </c>
      <c r="J371" s="597">
        <v>48395</v>
      </c>
      <c r="K371" s="224">
        <v>173</v>
      </c>
      <c r="L371" s="16"/>
    </row>
    <row r="372" spans="2:12" ht="17.5" x14ac:dyDescent="0.45">
      <c r="B372" s="226" t="s">
        <v>36</v>
      </c>
      <c r="C372" s="228" t="s">
        <v>286</v>
      </c>
      <c r="D372" s="242">
        <v>500</v>
      </c>
      <c r="E372" s="242">
        <v>32810</v>
      </c>
      <c r="F372" s="242">
        <v>1145</v>
      </c>
      <c r="G372" s="242">
        <v>234</v>
      </c>
      <c r="H372" s="242">
        <v>2217</v>
      </c>
      <c r="I372" s="242">
        <v>1407</v>
      </c>
      <c r="J372" s="227">
        <v>48395</v>
      </c>
      <c r="K372" s="243">
        <v>173</v>
      </c>
      <c r="L372" s="31"/>
    </row>
    <row r="373" spans="2:12" ht="17.5" x14ac:dyDescent="0.45">
      <c r="B373" s="229"/>
      <c r="C373" s="33" t="s">
        <v>50</v>
      </c>
      <c r="D373" s="129" t="s">
        <v>53</v>
      </c>
      <c r="E373" s="129" t="s">
        <v>53</v>
      </c>
      <c r="F373" s="129" t="s">
        <v>53</v>
      </c>
      <c r="G373" s="129"/>
      <c r="H373" s="129">
        <v>474</v>
      </c>
      <c r="I373" s="129"/>
      <c r="J373" s="125">
        <f>SUM(D373:I373)</f>
        <v>474</v>
      </c>
      <c r="K373" s="240">
        <v>0</v>
      </c>
      <c r="L373" s="31"/>
    </row>
    <row r="374" spans="2:12" ht="17.5" x14ac:dyDescent="0.45">
      <c r="B374" s="229"/>
      <c r="C374" s="225" t="s">
        <v>72</v>
      </c>
      <c r="D374" s="130" t="s">
        <v>53</v>
      </c>
      <c r="E374" s="130"/>
      <c r="F374" s="130" t="s">
        <v>53</v>
      </c>
      <c r="G374" s="130"/>
      <c r="H374" s="130"/>
      <c r="I374" s="130"/>
      <c r="J374" s="124">
        <v>0</v>
      </c>
      <c r="K374" s="234">
        <v>0</v>
      </c>
      <c r="L374" s="31"/>
    </row>
    <row r="375" spans="2:12" ht="18" thickBot="1" x14ac:dyDescent="0.5">
      <c r="B375" s="230"/>
      <c r="C375" s="223" t="s">
        <v>260</v>
      </c>
      <c r="D375" s="222">
        <v>500</v>
      </c>
      <c r="E375" s="222">
        <v>32810</v>
      </c>
      <c r="F375" s="222">
        <v>1145</v>
      </c>
      <c r="G375" s="222">
        <v>234</v>
      </c>
      <c r="H375" s="222">
        <v>2454</v>
      </c>
      <c r="I375" s="222">
        <v>1407</v>
      </c>
      <c r="J375" s="222">
        <v>48632</v>
      </c>
      <c r="K375" s="224">
        <v>173</v>
      </c>
      <c r="L375" s="31"/>
    </row>
    <row r="376" spans="2:12" ht="17.5" x14ac:dyDescent="0.45">
      <c r="B376" s="226" t="s">
        <v>37</v>
      </c>
      <c r="C376" s="228" t="s">
        <v>286</v>
      </c>
      <c r="D376" s="242">
        <v>3620.5599999999981</v>
      </c>
      <c r="E376" s="242">
        <v>43847.021661859697</v>
      </c>
      <c r="F376" s="242">
        <v>3894.6316818181822</v>
      </c>
      <c r="G376" s="242">
        <v>271.43799999999993</v>
      </c>
      <c r="H376" s="242">
        <v>4398.2300000000032</v>
      </c>
      <c r="I376" s="242">
        <v>594.00000000000011</v>
      </c>
      <c r="J376" s="227">
        <f>SUM(D376:I376)</f>
        <v>56625.88134367788</v>
      </c>
      <c r="K376" s="243">
        <v>101.41999999999997</v>
      </c>
      <c r="L376" s="16"/>
    </row>
    <row r="377" spans="2:12" ht="17.5" x14ac:dyDescent="0.45">
      <c r="B377" s="229"/>
      <c r="C377" s="33" t="s">
        <v>50</v>
      </c>
      <c r="D377" s="129">
        <v>0</v>
      </c>
      <c r="E377" s="129">
        <v>0</v>
      </c>
      <c r="F377" s="129">
        <v>21.620000000000005</v>
      </c>
      <c r="G377" s="129">
        <v>0</v>
      </c>
      <c r="H377" s="129">
        <v>541.78272727272736</v>
      </c>
      <c r="I377" s="129">
        <v>0</v>
      </c>
      <c r="J377" s="125">
        <f t="shared" ref="J377:J378" si="32">SUM(D377:I377)</f>
        <v>563.40272727272736</v>
      </c>
      <c r="K377" s="240">
        <v>0</v>
      </c>
      <c r="L377" s="16"/>
    </row>
    <row r="378" spans="2:12" ht="17.5" x14ac:dyDescent="0.45">
      <c r="B378" s="229"/>
      <c r="C378" s="225" t="s">
        <v>72</v>
      </c>
      <c r="D378" s="130">
        <v>0</v>
      </c>
      <c r="E378" s="130">
        <v>360.14283783783787</v>
      </c>
      <c r="F378" s="130">
        <f>218.17+7.68</f>
        <v>225.85</v>
      </c>
      <c r="G378" s="130">
        <v>0</v>
      </c>
      <c r="H378" s="130">
        <v>1235.0930000000003</v>
      </c>
      <c r="I378" s="130">
        <v>414.81000000000006</v>
      </c>
      <c r="J378" s="124">
        <f t="shared" si="32"/>
        <v>2235.8958378378384</v>
      </c>
      <c r="K378" s="234">
        <v>100.59999999999998</v>
      </c>
      <c r="L378" s="16"/>
    </row>
    <row r="379" spans="2:12" ht="14.15" hidden="1" customHeight="1" x14ac:dyDescent="0.45">
      <c r="B379" s="229"/>
      <c r="C379" s="225"/>
      <c r="D379" s="130"/>
      <c r="E379" s="130"/>
      <c r="F379" s="130"/>
      <c r="G379" s="130"/>
      <c r="H379" s="130"/>
      <c r="I379" s="130"/>
      <c r="J379" s="124"/>
      <c r="K379" s="234"/>
      <c r="L379" s="16"/>
    </row>
    <row r="380" spans="2:12" ht="18" thickBot="1" x14ac:dyDescent="0.5">
      <c r="B380" s="230"/>
      <c r="C380" s="244" t="s">
        <v>260</v>
      </c>
      <c r="D380" s="241">
        <f>SUM(D376:D379)</f>
        <v>3620.5599999999981</v>
      </c>
      <c r="E380" s="241">
        <f t="shared" ref="E380:I380" si="33">SUM(E376:E379)</f>
        <v>44207.164499697537</v>
      </c>
      <c r="F380" s="241">
        <f t="shared" si="33"/>
        <v>4142.1016818181824</v>
      </c>
      <c r="G380" s="241">
        <f t="shared" si="33"/>
        <v>271.43799999999993</v>
      </c>
      <c r="H380" s="241">
        <f t="shared" si="33"/>
        <v>6175.1057272727303</v>
      </c>
      <c r="I380" s="241">
        <f t="shared" si="33"/>
        <v>1008.8100000000002</v>
      </c>
      <c r="J380" s="241">
        <f t="shared" ref="J380:J389" si="34">SUM(D380:I380)</f>
        <v>59425.179908788443</v>
      </c>
      <c r="K380" s="245">
        <f>SUM(K376:K379)</f>
        <v>202.01999999999995</v>
      </c>
      <c r="L380" s="16"/>
    </row>
    <row r="381" spans="2:12" ht="17.5" x14ac:dyDescent="0.45">
      <c r="B381" s="226" t="s">
        <v>57</v>
      </c>
      <c r="C381" s="238" t="s">
        <v>286</v>
      </c>
      <c r="D381" s="232">
        <v>3801.587999999997</v>
      </c>
      <c r="E381" s="232">
        <v>46839</v>
      </c>
      <c r="F381" s="232">
        <v>3627</v>
      </c>
      <c r="G381" s="232">
        <v>274.61490000000003</v>
      </c>
      <c r="H381" s="232">
        <v>4801</v>
      </c>
      <c r="I381" s="232">
        <v>1264.2735</v>
      </c>
      <c r="J381" s="239">
        <f t="shared" si="34"/>
        <v>60607.4764</v>
      </c>
      <c r="K381" s="233">
        <v>125</v>
      </c>
      <c r="L381" s="16"/>
    </row>
    <row r="382" spans="2:12" ht="17.5" x14ac:dyDescent="0.45">
      <c r="B382" s="229"/>
      <c r="C382" s="33" t="s">
        <v>50</v>
      </c>
      <c r="D382" s="130" t="s">
        <v>53</v>
      </c>
      <c r="E382" s="129" t="s">
        <v>53</v>
      </c>
      <c r="F382" s="129">
        <v>22.522500000000001</v>
      </c>
      <c r="G382" s="130" t="s">
        <v>53</v>
      </c>
      <c r="H382" s="129">
        <v>28963.200000000001</v>
      </c>
      <c r="I382" s="130" t="s">
        <v>53</v>
      </c>
      <c r="J382" s="124">
        <f t="shared" si="34"/>
        <v>28985.7225</v>
      </c>
      <c r="K382" s="240">
        <v>0</v>
      </c>
      <c r="L382" s="16"/>
    </row>
    <row r="383" spans="2:12" ht="17.5" x14ac:dyDescent="0.45">
      <c r="B383" s="229"/>
      <c r="C383" s="33" t="s">
        <v>73</v>
      </c>
      <c r="D383" s="130" t="s">
        <v>53</v>
      </c>
      <c r="E383" s="130">
        <v>380</v>
      </c>
      <c r="F383" s="130">
        <v>311</v>
      </c>
      <c r="G383" s="130" t="s">
        <v>53</v>
      </c>
      <c r="H383" s="130">
        <v>1292</v>
      </c>
      <c r="I383" s="130">
        <v>369</v>
      </c>
      <c r="J383" s="124">
        <f t="shared" si="34"/>
        <v>2352</v>
      </c>
      <c r="K383" s="234">
        <v>165</v>
      </c>
      <c r="L383" s="16"/>
    </row>
    <row r="384" spans="2:12" ht="17.5" x14ac:dyDescent="0.45">
      <c r="B384" s="229"/>
      <c r="C384" s="33" t="s">
        <v>72</v>
      </c>
      <c r="D384" s="130" t="s">
        <v>53</v>
      </c>
      <c r="E384" s="130" t="s">
        <v>53</v>
      </c>
      <c r="F384" s="130">
        <v>5.04</v>
      </c>
      <c r="G384" s="130" t="s">
        <v>53</v>
      </c>
      <c r="H384" s="130" t="s">
        <v>53</v>
      </c>
      <c r="I384" s="130" t="s">
        <v>53</v>
      </c>
      <c r="J384" s="124">
        <f t="shared" si="34"/>
        <v>5.04</v>
      </c>
      <c r="K384" s="234" t="s">
        <v>53</v>
      </c>
      <c r="L384" s="16"/>
    </row>
    <row r="385" spans="2:12" ht="16.5" thickBot="1" x14ac:dyDescent="0.4">
      <c r="B385" s="230"/>
      <c r="C385" s="223" t="s">
        <v>260</v>
      </c>
      <c r="D385" s="241">
        <f>SUM(D381:D384)</f>
        <v>3801.587999999997</v>
      </c>
      <c r="E385" s="222">
        <f t="shared" ref="E385:I385" si="35">SUM(E381:E384)</f>
        <v>47219</v>
      </c>
      <c r="F385" s="222">
        <f t="shared" si="35"/>
        <v>3965.5625</v>
      </c>
      <c r="G385" s="241">
        <f t="shared" si="35"/>
        <v>274.61490000000003</v>
      </c>
      <c r="H385" s="222">
        <f t="shared" si="35"/>
        <v>35056.199999999997</v>
      </c>
      <c r="I385" s="222">
        <f t="shared" si="35"/>
        <v>1633.2735</v>
      </c>
      <c r="J385" s="222">
        <f t="shared" si="34"/>
        <v>91950.238899999982</v>
      </c>
      <c r="K385" s="224">
        <f>SUM(K381:K384)</f>
        <v>290</v>
      </c>
    </row>
    <row r="386" spans="2:12" ht="16" x14ac:dyDescent="0.35">
      <c r="B386" s="226" t="s">
        <v>39</v>
      </c>
      <c r="C386" s="228" t="s">
        <v>286</v>
      </c>
      <c r="D386" s="232">
        <v>3985</v>
      </c>
      <c r="E386" s="232">
        <v>44851</v>
      </c>
      <c r="F386" s="232">
        <v>3240</v>
      </c>
      <c r="G386" s="232">
        <v>108.18149999999999</v>
      </c>
      <c r="H386" s="232">
        <v>4393</v>
      </c>
      <c r="I386" s="232">
        <v>478</v>
      </c>
      <c r="J386" s="232">
        <f t="shared" si="34"/>
        <v>57055.181499999999</v>
      </c>
      <c r="K386" s="233">
        <v>118</v>
      </c>
    </row>
    <row r="387" spans="2:12" ht="16" x14ac:dyDescent="0.35">
      <c r="B387" s="229" t="s">
        <v>326</v>
      </c>
      <c r="C387" s="33" t="s">
        <v>50</v>
      </c>
      <c r="D387" s="130">
        <v>0</v>
      </c>
      <c r="E387" s="130">
        <v>0</v>
      </c>
      <c r="F387" s="130">
        <v>46</v>
      </c>
      <c r="G387" s="130">
        <v>0</v>
      </c>
      <c r="H387" s="130">
        <v>544</v>
      </c>
      <c r="I387" s="130">
        <v>0</v>
      </c>
      <c r="J387" s="130">
        <f t="shared" si="34"/>
        <v>590</v>
      </c>
      <c r="K387" s="234" t="s">
        <v>53</v>
      </c>
    </row>
    <row r="388" spans="2:12" ht="16" x14ac:dyDescent="0.35">
      <c r="B388" s="229"/>
      <c r="C388" s="33" t="s">
        <v>73</v>
      </c>
      <c r="D388" s="130">
        <v>0</v>
      </c>
      <c r="E388" s="130">
        <v>369.05399999999997</v>
      </c>
      <c r="F388" s="130">
        <v>378.70349999999991</v>
      </c>
      <c r="G388" s="130">
        <v>0</v>
      </c>
      <c r="H388" s="130">
        <v>1073</v>
      </c>
      <c r="I388" s="130">
        <v>184</v>
      </c>
      <c r="J388" s="130">
        <f t="shared" si="34"/>
        <v>2004.7574999999999</v>
      </c>
      <c r="K388" s="234">
        <v>40</v>
      </c>
    </row>
    <row r="389" spans="2:12" ht="16.5" thickBot="1" x14ac:dyDescent="0.4">
      <c r="B389" s="230"/>
      <c r="C389" s="223" t="s">
        <v>260</v>
      </c>
      <c r="D389" s="235">
        <f>SUM(D386:D388)</f>
        <v>3985</v>
      </c>
      <c r="E389" s="236">
        <f t="shared" ref="E389:I389" si="36">SUM(E386:E388)</f>
        <v>45220.053999999996</v>
      </c>
      <c r="F389" s="235">
        <f>SUM(F386:F388)</f>
        <v>3664.7035000000001</v>
      </c>
      <c r="G389" s="235">
        <f t="shared" si="36"/>
        <v>108.18149999999999</v>
      </c>
      <c r="H389" s="235">
        <f t="shared" si="36"/>
        <v>6010</v>
      </c>
      <c r="I389" s="235">
        <f t="shared" si="36"/>
        <v>662</v>
      </c>
      <c r="J389" s="235">
        <f t="shared" si="34"/>
        <v>59649.938999999998</v>
      </c>
      <c r="K389" s="237">
        <f>SUM(K386:K388)</f>
        <v>158</v>
      </c>
    </row>
    <row r="390" spans="2:12" ht="17.5" x14ac:dyDescent="0.45">
      <c r="B390" s="231" t="s">
        <v>39</v>
      </c>
      <c r="C390" s="219" t="s">
        <v>286</v>
      </c>
      <c r="D390" s="125">
        <v>1260</v>
      </c>
      <c r="E390" s="125">
        <v>47555</v>
      </c>
      <c r="F390" s="125">
        <v>4150</v>
      </c>
      <c r="G390" s="33">
        <v>106</v>
      </c>
      <c r="H390" s="125">
        <v>4537</v>
      </c>
      <c r="I390" s="33">
        <v>515</v>
      </c>
      <c r="J390" s="220">
        <v>58123</v>
      </c>
      <c r="K390" s="31"/>
    </row>
    <row r="391" spans="2:12" ht="17.5" x14ac:dyDescent="0.45">
      <c r="B391" s="229" t="s">
        <v>327</v>
      </c>
      <c r="C391" s="219" t="s">
        <v>50</v>
      </c>
      <c r="D391" s="79" t="s">
        <v>53</v>
      </c>
      <c r="E391" s="79"/>
      <c r="F391" s="33">
        <v>59</v>
      </c>
      <c r="G391" s="79" t="s">
        <v>53</v>
      </c>
      <c r="H391" s="125">
        <v>550</v>
      </c>
      <c r="I391" s="79" t="s">
        <v>53</v>
      </c>
      <c r="J391" s="220">
        <v>609</v>
      </c>
      <c r="K391" s="31"/>
    </row>
    <row r="392" spans="2:12" ht="17.5" x14ac:dyDescent="0.45">
      <c r="B392" s="229"/>
      <c r="C392" s="219" t="s">
        <v>73</v>
      </c>
      <c r="D392" s="33">
        <v>351</v>
      </c>
      <c r="E392" s="33"/>
      <c r="F392" s="33">
        <v>361</v>
      </c>
      <c r="G392" s="79" t="s">
        <v>53</v>
      </c>
      <c r="H392" s="125">
        <v>1023</v>
      </c>
      <c r="I392" s="33">
        <v>176</v>
      </c>
      <c r="J392" s="220">
        <v>1912</v>
      </c>
      <c r="K392" s="31"/>
    </row>
    <row r="393" spans="2:12" ht="18" thickBot="1" x14ac:dyDescent="0.5">
      <c r="B393" s="230"/>
      <c r="C393" s="221" t="s">
        <v>260</v>
      </c>
      <c r="D393" s="222">
        <f>SUM(D390:D392)</f>
        <v>1611</v>
      </c>
      <c r="E393" s="222">
        <f>SUM(E390:E392)</f>
        <v>47555</v>
      </c>
      <c r="F393" s="222">
        <v>4570</v>
      </c>
      <c r="G393" s="223">
        <v>106</v>
      </c>
      <c r="H393" s="222">
        <v>6111</v>
      </c>
      <c r="I393" s="223">
        <v>691</v>
      </c>
      <c r="J393" s="224">
        <f>SUM(D393:I393)</f>
        <v>60644</v>
      </c>
      <c r="K393" s="31"/>
    </row>
    <row r="394" spans="2:12" ht="17.5" x14ac:dyDescent="0.45">
      <c r="B394" s="39"/>
      <c r="C394" s="39"/>
      <c r="D394" s="31"/>
      <c r="E394" s="31"/>
      <c r="F394" s="31"/>
      <c r="G394" s="31"/>
      <c r="H394" s="31"/>
      <c r="I394" s="31"/>
      <c r="J394" s="31"/>
      <c r="K394" s="31"/>
    </row>
    <row r="395" spans="2:12" s="25" customFormat="1" ht="17.5" x14ac:dyDescent="0.45">
      <c r="B395" s="32" t="s">
        <v>251</v>
      </c>
      <c r="C395" s="32"/>
      <c r="D395" s="27"/>
      <c r="E395" s="27"/>
      <c r="F395" s="27"/>
      <c r="G395" s="27"/>
      <c r="H395" s="27"/>
      <c r="I395" s="27"/>
      <c r="J395" s="27"/>
      <c r="K395" s="27"/>
      <c r="L395" s="40"/>
    </row>
    <row r="396" spans="2:12" ht="6" customHeight="1" thickBot="1" x14ac:dyDescent="0.5">
      <c r="B396" s="30"/>
      <c r="C396" s="30"/>
      <c r="D396" s="31"/>
      <c r="E396" s="16"/>
      <c r="F396" s="31"/>
      <c r="G396" s="31"/>
      <c r="H396" s="31"/>
      <c r="I396" s="31"/>
      <c r="J396" s="31"/>
      <c r="K396" s="31"/>
    </row>
    <row r="397" spans="2:12" ht="32" x14ac:dyDescent="0.45">
      <c r="B397" s="631" t="s">
        <v>275</v>
      </c>
      <c r="C397" s="631" t="s">
        <v>33</v>
      </c>
      <c r="D397" s="631" t="s">
        <v>34</v>
      </c>
      <c r="E397" s="631" t="s">
        <v>35</v>
      </c>
      <c r="F397" s="631" t="s">
        <v>36</v>
      </c>
      <c r="G397" s="631" t="s">
        <v>37</v>
      </c>
      <c r="H397" s="631" t="s">
        <v>57</v>
      </c>
      <c r="I397" s="631" t="s">
        <v>39</v>
      </c>
      <c r="J397" s="31"/>
      <c r="K397" s="31"/>
      <c r="L397" s="31"/>
    </row>
    <row r="398" spans="2:12" ht="17.5" x14ac:dyDescent="0.45">
      <c r="B398" s="33" t="s">
        <v>276</v>
      </c>
      <c r="C398" s="580">
        <v>0</v>
      </c>
      <c r="D398" s="580">
        <v>0</v>
      </c>
      <c r="E398" s="580">
        <v>0</v>
      </c>
      <c r="F398" s="166">
        <v>14119.254999999999</v>
      </c>
      <c r="G398" s="34">
        <v>15690</v>
      </c>
      <c r="H398" s="34">
        <v>13587</v>
      </c>
      <c r="I398" s="34">
        <v>17465</v>
      </c>
      <c r="J398" s="31"/>
      <c r="K398" s="31"/>
      <c r="L398" s="31"/>
    </row>
    <row r="399" spans="2:12" ht="17.5" x14ac:dyDescent="0.45">
      <c r="B399" s="33" t="s">
        <v>278</v>
      </c>
      <c r="C399" s="521">
        <f>1367+4279+327</f>
        <v>5973</v>
      </c>
      <c r="D399" s="521">
        <f>1367+4279+327</f>
        <v>5973</v>
      </c>
      <c r="E399" s="521">
        <v>4564</v>
      </c>
      <c r="F399" s="166">
        <v>4564.4409999999998</v>
      </c>
      <c r="G399" s="34">
        <f>7533+1235</f>
        <v>8768</v>
      </c>
      <c r="H399" s="34">
        <f>13402.8+28</f>
        <v>13430.8</v>
      </c>
      <c r="I399" s="34"/>
      <c r="J399" s="31"/>
      <c r="K399" s="31"/>
      <c r="L399" s="31"/>
    </row>
    <row r="400" spans="2:12" ht="18" thickBot="1" x14ac:dyDescent="0.5">
      <c r="B400" s="35" t="s">
        <v>260</v>
      </c>
      <c r="C400" s="167">
        <f>SUM(C398:C399)</f>
        <v>5973</v>
      </c>
      <c r="D400" s="167">
        <f>SUM(D398:D399)</f>
        <v>5973</v>
      </c>
      <c r="E400" s="167">
        <v>4564</v>
      </c>
      <c r="F400" s="167">
        <f t="shared" ref="F400:I400" si="37">SUM(F398:F399)</f>
        <v>18683.696</v>
      </c>
      <c r="G400" s="167">
        <f t="shared" si="37"/>
        <v>24458</v>
      </c>
      <c r="H400" s="167">
        <f t="shared" si="37"/>
        <v>27017.8</v>
      </c>
      <c r="I400" s="167">
        <f t="shared" si="37"/>
        <v>17465</v>
      </c>
      <c r="J400" s="31"/>
      <c r="K400" s="31"/>
      <c r="L400" s="31"/>
    </row>
    <row r="401" spans="2:12" x14ac:dyDescent="0.35">
      <c r="B401" s="3"/>
      <c r="C401" s="5"/>
      <c r="D401" s="1"/>
      <c r="E401" s="1"/>
      <c r="F401" s="1"/>
      <c r="G401" s="1"/>
      <c r="H401" s="1"/>
      <c r="I401" s="1"/>
      <c r="J401" s="1"/>
    </row>
    <row r="402" spans="2:12" s="25" customFormat="1" ht="21" x14ac:dyDescent="0.45">
      <c r="B402" s="187" t="s">
        <v>253</v>
      </c>
      <c r="C402" s="187"/>
      <c r="D402" s="27"/>
      <c r="E402" s="27"/>
      <c r="F402" s="27"/>
      <c r="G402" s="27"/>
      <c r="H402" s="27"/>
      <c r="I402" s="27"/>
      <c r="J402" s="27"/>
      <c r="K402" s="27"/>
      <c r="L402" s="40"/>
    </row>
    <row r="403" spans="2:12" ht="17.5" x14ac:dyDescent="0.45">
      <c r="B403" s="3"/>
      <c r="C403" s="5"/>
      <c r="D403" s="1"/>
      <c r="E403" s="1"/>
      <c r="F403" s="1"/>
      <c r="G403" s="1"/>
      <c r="H403" s="1"/>
      <c r="I403" s="1"/>
      <c r="J403" s="1"/>
      <c r="L403" s="16"/>
    </row>
    <row r="404" spans="2:12" s="25" customFormat="1" ht="17.5" x14ac:dyDescent="0.45">
      <c r="B404" s="32" t="s">
        <v>342</v>
      </c>
      <c r="C404" s="32"/>
      <c r="D404" s="27"/>
      <c r="E404" s="27"/>
      <c r="F404" s="27"/>
      <c r="G404" s="27"/>
      <c r="H404" s="27"/>
      <c r="I404" s="27"/>
      <c r="J404" s="27"/>
      <c r="K404" s="27"/>
      <c r="L404" s="40"/>
    </row>
    <row r="405" spans="2:12" ht="7.9" customHeight="1" thickBot="1" x14ac:dyDescent="0.4">
      <c r="H405" s="1"/>
      <c r="I405" s="1"/>
      <c r="J405" s="1"/>
    </row>
    <row r="406" spans="2:12" ht="32" x14ac:dyDescent="0.35">
      <c r="B406" s="249" t="s">
        <v>46</v>
      </c>
      <c r="C406" s="249" t="s">
        <v>68</v>
      </c>
      <c r="D406" s="249" t="s">
        <v>343</v>
      </c>
      <c r="E406" s="249" t="s">
        <v>344</v>
      </c>
      <c r="G406" s="1"/>
      <c r="H406" s="1"/>
      <c r="I406" s="1"/>
    </row>
    <row r="407" spans="2:12" x14ac:dyDescent="0.35">
      <c r="B407" s="418" t="s">
        <v>157</v>
      </c>
      <c r="C407" s="422" t="s">
        <v>345</v>
      </c>
      <c r="D407" s="613"/>
      <c r="E407" s="613"/>
      <c r="G407" s="1"/>
      <c r="H407" s="1"/>
      <c r="I407" s="1"/>
    </row>
    <row r="408" spans="2:12" ht="16" thickBot="1" x14ac:dyDescent="0.4">
      <c r="B408" s="419" t="s">
        <v>158</v>
      </c>
      <c r="C408" s="421" t="s">
        <v>32</v>
      </c>
      <c r="D408" s="614">
        <f>8521+2041</f>
        <v>10562</v>
      </c>
      <c r="E408" s="614">
        <f>18399+8214</f>
        <v>26613</v>
      </c>
      <c r="G408" s="1"/>
      <c r="H408" s="1"/>
      <c r="I408" s="1"/>
    </row>
    <row r="409" spans="2:12" x14ac:dyDescent="0.35">
      <c r="B409" s="418" t="s">
        <v>157</v>
      </c>
      <c r="C409" s="422" t="s">
        <v>345</v>
      </c>
      <c r="D409" s="613"/>
      <c r="E409" s="613"/>
      <c r="G409" s="1"/>
      <c r="H409" s="1"/>
      <c r="I409" s="1"/>
    </row>
    <row r="410" spans="2:12" ht="16" thickBot="1" x14ac:dyDescent="0.4">
      <c r="B410" s="419" t="s">
        <v>160</v>
      </c>
      <c r="C410" s="421" t="s">
        <v>32</v>
      </c>
      <c r="D410" s="614">
        <f>8521+2041</f>
        <v>10562</v>
      </c>
      <c r="E410" s="614">
        <f>18399+8214</f>
        <v>26613</v>
      </c>
      <c r="G410" s="1"/>
      <c r="H410" s="1"/>
      <c r="I410" s="1"/>
    </row>
    <row r="411" spans="2:12" x14ac:dyDescent="0.35">
      <c r="B411" s="598" t="s">
        <v>35</v>
      </c>
      <c r="C411" s="422" t="s">
        <v>345</v>
      </c>
      <c r="D411" s="615"/>
      <c r="E411" s="615"/>
      <c r="G411" s="1"/>
      <c r="H411" s="1"/>
      <c r="I411" s="1"/>
    </row>
    <row r="412" spans="2:12" ht="16" thickBot="1" x14ac:dyDescent="0.4">
      <c r="B412" s="419"/>
      <c r="C412" s="421" t="s">
        <v>32</v>
      </c>
      <c r="D412" s="614"/>
      <c r="E412" s="614"/>
      <c r="G412" s="1"/>
      <c r="H412" s="1"/>
      <c r="I412" s="1"/>
    </row>
    <row r="413" spans="2:12" x14ac:dyDescent="0.35">
      <c r="B413" s="418" t="s">
        <v>36</v>
      </c>
      <c r="C413" s="422" t="s">
        <v>345</v>
      </c>
      <c r="D413" s="613"/>
      <c r="E413" s="613"/>
      <c r="H413" s="1"/>
      <c r="I413" s="1"/>
      <c r="J413" s="1"/>
    </row>
    <row r="414" spans="2:12" ht="16" thickBot="1" x14ac:dyDescent="0.4">
      <c r="B414" s="419"/>
      <c r="C414" s="421" t="s">
        <v>32</v>
      </c>
      <c r="D414" s="614"/>
      <c r="E414" s="614"/>
      <c r="H414" s="1"/>
      <c r="I414" s="1"/>
      <c r="J414" s="1"/>
    </row>
    <row r="415" spans="2:12" x14ac:dyDescent="0.35">
      <c r="B415" s="418" t="s">
        <v>37</v>
      </c>
      <c r="C415" s="422" t="s">
        <v>345</v>
      </c>
      <c r="D415" s="613"/>
      <c r="E415" s="613"/>
      <c r="H415" s="1"/>
      <c r="I415" s="1"/>
      <c r="J415" s="1"/>
    </row>
    <row r="416" spans="2:12" ht="16" thickBot="1" x14ac:dyDescent="0.4">
      <c r="B416" s="419"/>
      <c r="C416" s="421" t="s">
        <v>32</v>
      </c>
      <c r="D416" s="614"/>
      <c r="E416" s="614"/>
      <c r="H416" s="1"/>
      <c r="I416" s="1"/>
      <c r="J416" s="1"/>
    </row>
    <row r="417" spans="2:13" x14ac:dyDescent="0.35">
      <c r="B417" s="418" t="s">
        <v>57</v>
      </c>
      <c r="C417" s="422" t="s">
        <v>345</v>
      </c>
      <c r="D417" s="613"/>
      <c r="E417" s="613"/>
      <c r="H417" s="1"/>
      <c r="I417" s="1"/>
      <c r="J417" s="1"/>
    </row>
    <row r="418" spans="2:13" ht="16" thickBot="1" x14ac:dyDescent="0.4">
      <c r="B418" s="419"/>
      <c r="C418" s="421" t="s">
        <v>32</v>
      </c>
      <c r="D418" s="614"/>
      <c r="E418" s="614"/>
      <c r="H418" s="1"/>
      <c r="I418" s="1"/>
      <c r="J418" s="1"/>
    </row>
    <row r="419" spans="2:13" x14ac:dyDescent="0.35">
      <c r="B419" s="418" t="s">
        <v>39</v>
      </c>
      <c r="C419" s="422" t="s">
        <v>345</v>
      </c>
      <c r="D419" s="613"/>
      <c r="E419" s="613"/>
      <c r="H419" s="1"/>
      <c r="I419" s="1"/>
      <c r="J419" s="1"/>
    </row>
    <row r="420" spans="2:13" ht="16" thickBot="1" x14ac:dyDescent="0.4">
      <c r="B420" s="419"/>
      <c r="C420" s="421" t="s">
        <v>32</v>
      </c>
      <c r="D420" s="614"/>
      <c r="E420" s="614"/>
      <c r="H420" s="1"/>
      <c r="I420" s="1"/>
      <c r="J420" s="1"/>
      <c r="L420" s="260"/>
      <c r="M420" s="260"/>
    </row>
    <row r="421" spans="2:13" x14ac:dyDescent="0.35">
      <c r="H421" s="1"/>
      <c r="I421" s="1"/>
      <c r="J421" s="1"/>
      <c r="L421" s="260"/>
      <c r="M421" s="260"/>
    </row>
    <row r="422" spans="2:13" s="25" customFormat="1" ht="17.5" x14ac:dyDescent="0.45">
      <c r="B422" s="417" t="s">
        <v>346</v>
      </c>
      <c r="C422" s="32"/>
      <c r="D422" s="27"/>
      <c r="E422" s="27"/>
      <c r="F422" s="27"/>
      <c r="G422" s="27"/>
      <c r="H422" s="27"/>
      <c r="I422" s="27"/>
      <c r="J422" s="27"/>
      <c r="K422" s="27"/>
      <c r="L422" s="40"/>
    </row>
    <row r="423" spans="2:13" ht="16" thickBot="1" x14ac:dyDescent="0.4">
      <c r="H423" s="1"/>
      <c r="I423" s="1"/>
      <c r="J423" s="1"/>
      <c r="L423" s="260"/>
      <c r="M423" s="260"/>
    </row>
    <row r="424" spans="2:13" ht="32" x14ac:dyDescent="0.35">
      <c r="B424" s="249" t="s">
        <v>347</v>
      </c>
      <c r="C424" s="249" t="s">
        <v>68</v>
      </c>
      <c r="D424" s="249" t="s">
        <v>348</v>
      </c>
      <c r="E424" s="249" t="s">
        <v>343</v>
      </c>
      <c r="F424" s="249" t="s">
        <v>344</v>
      </c>
      <c r="H424" s="1"/>
      <c r="I424" s="1"/>
      <c r="J424" s="1"/>
      <c r="L424" s="260"/>
      <c r="M424" s="260"/>
    </row>
    <row r="425" spans="2:13" x14ac:dyDescent="0.35">
      <c r="B425" s="420" t="s">
        <v>157</v>
      </c>
      <c r="C425" s="501" t="s">
        <v>273</v>
      </c>
      <c r="D425" s="502">
        <f>SUM(D426:D427)</f>
        <v>26612.826000000001</v>
      </c>
      <c r="E425" s="502">
        <f>SUM(E426:E427)</f>
        <v>-10562</v>
      </c>
      <c r="F425" s="502">
        <f>SUM(F426:F427)</f>
        <v>26612.826000000001</v>
      </c>
      <c r="H425" s="1"/>
      <c r="I425" s="1"/>
      <c r="J425" s="1"/>
    </row>
    <row r="426" spans="2:13" x14ac:dyDescent="0.35">
      <c r="B426" s="420" t="s">
        <v>158</v>
      </c>
      <c r="C426" s="503" t="s">
        <v>349</v>
      </c>
      <c r="D426" s="504">
        <v>18399</v>
      </c>
      <c r="E426" s="505">
        <v>-8521</v>
      </c>
      <c r="F426" s="504">
        <v>18399</v>
      </c>
      <c r="H426" s="1"/>
      <c r="I426" s="1"/>
      <c r="J426" s="1"/>
    </row>
    <row r="427" spans="2:13" x14ac:dyDescent="0.35">
      <c r="B427" s="420"/>
      <c r="C427" s="503" t="s">
        <v>350</v>
      </c>
      <c r="D427" s="504">
        <v>8213.8259999999991</v>
      </c>
      <c r="E427" s="505">
        <v>-2041</v>
      </c>
      <c r="F427" s="504">
        <v>8213.8259999999991</v>
      </c>
      <c r="H427" s="1"/>
      <c r="I427" s="1"/>
      <c r="J427" s="1"/>
    </row>
    <row r="428" spans="2:13" x14ac:dyDescent="0.35">
      <c r="B428" s="420"/>
      <c r="C428" s="503" t="s">
        <v>351</v>
      </c>
      <c r="D428" s="504">
        <v>0</v>
      </c>
      <c r="E428" s="506">
        <v>0</v>
      </c>
      <c r="F428" s="506">
        <v>0</v>
      </c>
      <c r="H428" s="1"/>
      <c r="I428" s="1"/>
      <c r="J428" s="1"/>
    </row>
    <row r="429" spans="2:13" x14ac:dyDescent="0.35">
      <c r="B429" s="420"/>
      <c r="C429" s="503" t="s">
        <v>352</v>
      </c>
      <c r="D429" s="504">
        <v>0</v>
      </c>
      <c r="E429" s="506">
        <v>0</v>
      </c>
      <c r="F429" s="506">
        <v>0</v>
      </c>
      <c r="H429" s="1"/>
      <c r="I429" s="1"/>
      <c r="J429" s="1"/>
    </row>
    <row r="430" spans="2:13" ht="16" thickBot="1" x14ac:dyDescent="0.4">
      <c r="B430" s="419"/>
      <c r="C430" s="507" t="s">
        <v>32</v>
      </c>
      <c r="D430" s="508">
        <f>SUM(D426:D429)</f>
        <v>26612.826000000001</v>
      </c>
      <c r="E430" s="508">
        <f>SUM(E426:E429)</f>
        <v>-10562</v>
      </c>
      <c r="F430" s="508">
        <f>SUM(F426:F429)</f>
        <v>26612.826000000001</v>
      </c>
      <c r="H430" s="1"/>
      <c r="I430" s="1"/>
      <c r="J430" s="1"/>
    </row>
    <row r="431" spans="2:13" x14ac:dyDescent="0.35">
      <c r="B431" s="3"/>
      <c r="C431" s="5"/>
      <c r="D431" s="1"/>
      <c r="E431" s="1"/>
      <c r="F431" s="1"/>
      <c r="G431" s="1"/>
      <c r="H431" s="1"/>
      <c r="I431" s="1"/>
      <c r="J431" s="1"/>
    </row>
    <row r="432" spans="2:13" s="25" customFormat="1" ht="21" x14ac:dyDescent="0.45">
      <c r="B432" s="187" t="s">
        <v>30</v>
      </c>
      <c r="C432" s="187"/>
      <c r="D432" s="27"/>
      <c r="E432" s="27"/>
      <c r="F432" s="27"/>
      <c r="G432" s="27"/>
      <c r="H432" s="27"/>
      <c r="I432" s="27"/>
      <c r="J432" s="27"/>
      <c r="K432" s="27"/>
      <c r="L432" s="27"/>
      <c r="M432" s="27"/>
    </row>
    <row r="433" spans="2:13" s="260" customFormat="1" ht="16.5" x14ac:dyDescent="0.45">
      <c r="B433" s="408" t="s">
        <v>353</v>
      </c>
      <c r="L433"/>
      <c r="M433"/>
    </row>
    <row r="434" spans="2:13" s="260" customFormat="1" ht="16.5" x14ac:dyDescent="0.45">
      <c r="B434" s="409" t="s">
        <v>354</v>
      </c>
      <c r="C434" s="374"/>
      <c r="D434" s="264"/>
      <c r="E434" s="264"/>
      <c r="F434" s="264"/>
      <c r="G434" s="264"/>
      <c r="H434" s="264"/>
      <c r="I434" s="264"/>
      <c r="J434" s="264"/>
      <c r="L434"/>
      <c r="M434"/>
    </row>
    <row r="435" spans="2:13" s="260" customFormat="1" ht="16.5" x14ac:dyDescent="0.45">
      <c r="B435" s="408" t="s">
        <v>355</v>
      </c>
      <c r="L435"/>
      <c r="M435"/>
    </row>
    <row r="436" spans="2:13" s="260" customFormat="1" ht="16.5" x14ac:dyDescent="0.45">
      <c r="B436" s="409" t="s">
        <v>356</v>
      </c>
      <c r="C436" s="374"/>
      <c r="D436" s="264"/>
      <c r="E436" s="264"/>
      <c r="F436" s="264"/>
      <c r="G436" s="264"/>
      <c r="H436" s="264"/>
      <c r="I436" s="264"/>
      <c r="J436" s="264"/>
      <c r="L436"/>
      <c r="M436"/>
    </row>
    <row r="437" spans="2:13" s="260" customFormat="1" ht="16.5" x14ac:dyDescent="0.45">
      <c r="B437" s="408" t="s">
        <v>357</v>
      </c>
      <c r="L437"/>
      <c r="M437"/>
    </row>
    <row r="438" spans="2:13" ht="16.5" x14ac:dyDescent="0.45">
      <c r="B438" s="408" t="s">
        <v>358</v>
      </c>
    </row>
    <row r="439" spans="2:13" ht="16.5" x14ac:dyDescent="0.45">
      <c r="B439" s="408" t="s">
        <v>359</v>
      </c>
    </row>
    <row r="440" spans="2:13" ht="16.5" x14ac:dyDescent="0.45">
      <c r="B440" s="408" t="s">
        <v>360</v>
      </c>
      <c r="C440" s="2"/>
      <c r="D440" s="1"/>
      <c r="E440" s="1"/>
      <c r="F440" s="1"/>
      <c r="G440" s="1"/>
      <c r="H440" s="1"/>
      <c r="I440" s="1"/>
      <c r="J440" s="1"/>
    </row>
    <row r="441" spans="2:13" ht="16.5" x14ac:dyDescent="0.45">
      <c r="B441" s="408" t="s">
        <v>361</v>
      </c>
      <c r="C441" s="2"/>
      <c r="D441" s="1"/>
      <c r="E441" s="1"/>
      <c r="F441" s="1"/>
      <c r="G441" s="1"/>
      <c r="H441" s="1"/>
      <c r="I441" s="1"/>
      <c r="J441" s="1"/>
    </row>
    <row r="442" spans="2:13" ht="16.5" x14ac:dyDescent="0.45">
      <c r="B442" s="408" t="s">
        <v>362</v>
      </c>
      <c r="C442" s="2"/>
      <c r="D442" s="1"/>
      <c r="E442" s="1"/>
      <c r="F442" s="1"/>
      <c r="G442" s="1"/>
      <c r="H442" s="1"/>
      <c r="I442" s="1"/>
      <c r="J442" s="1"/>
    </row>
    <row r="443" spans="2:13" ht="16.5" x14ac:dyDescent="0.45">
      <c r="B443" s="408" t="s">
        <v>363</v>
      </c>
      <c r="C443" s="2"/>
      <c r="D443" s="1"/>
      <c r="E443" s="1"/>
      <c r="F443" s="1"/>
      <c r="G443" s="1"/>
      <c r="H443" s="1"/>
      <c r="I443" s="1"/>
      <c r="J443" s="1"/>
    </row>
    <row r="444" spans="2:13" ht="16.5" x14ac:dyDescent="0.45">
      <c r="B444" s="408" t="s">
        <v>364</v>
      </c>
      <c r="C444" s="2"/>
      <c r="D444" s="1"/>
      <c r="E444" s="1"/>
      <c r="F444" s="1"/>
      <c r="G444" s="1"/>
      <c r="H444" s="1"/>
      <c r="I444" s="1"/>
      <c r="J444" s="1"/>
    </row>
    <row r="445" spans="2:13" ht="16.5" x14ac:dyDescent="0.45">
      <c r="B445" s="408" t="s">
        <v>395</v>
      </c>
      <c r="C445" s="2"/>
      <c r="D445" s="1"/>
      <c r="E445" s="1"/>
      <c r="F445" s="1"/>
      <c r="G445" s="1"/>
      <c r="H445" s="1"/>
      <c r="I445" s="1"/>
      <c r="J445" s="1"/>
    </row>
    <row r="446" spans="2:13" x14ac:dyDescent="0.35">
      <c r="C446" s="2"/>
      <c r="D446" s="1"/>
      <c r="E446" s="1"/>
      <c r="F446" s="1"/>
      <c r="G446" s="1"/>
      <c r="H446" s="1"/>
      <c r="I446" s="1"/>
      <c r="J446" s="1"/>
    </row>
    <row r="447" spans="2:13" x14ac:dyDescent="0.35">
      <c r="C447" s="2"/>
      <c r="D447" s="1"/>
      <c r="E447" s="1"/>
      <c r="F447" s="1"/>
      <c r="G447" s="1"/>
      <c r="H447" s="1"/>
      <c r="I447" s="1"/>
      <c r="J447" s="1"/>
    </row>
    <row r="448" spans="2:13" x14ac:dyDescent="0.35">
      <c r="C448" s="2"/>
      <c r="D448" s="1"/>
      <c r="E448" s="1"/>
      <c r="F448" s="1"/>
      <c r="G448" s="1"/>
      <c r="H448" s="1"/>
      <c r="I448" s="1"/>
    </row>
    <row r="449" spans="3:9" x14ac:dyDescent="0.35">
      <c r="C449" s="2"/>
      <c r="D449" s="1"/>
      <c r="E449" s="1"/>
      <c r="F449" s="1"/>
      <c r="G449" s="1"/>
      <c r="H449" s="1"/>
      <c r="I449" s="1"/>
    </row>
    <row r="450" spans="3:9" x14ac:dyDescent="0.35">
      <c r="C450" s="4"/>
      <c r="D450" s="1"/>
      <c r="E450" s="1"/>
      <c r="F450" s="1"/>
      <c r="G450" s="1"/>
      <c r="H450" s="1"/>
      <c r="I450" s="1"/>
    </row>
    <row r="451" spans="3:9" x14ac:dyDescent="0.35">
      <c r="C451" s="1"/>
      <c r="D451" s="1"/>
      <c r="E451" s="1"/>
      <c r="F451" s="1"/>
      <c r="G451" s="1"/>
      <c r="H451" s="1"/>
      <c r="I451" s="1"/>
    </row>
    <row r="452" spans="3:9" x14ac:dyDescent="0.35">
      <c r="C452" s="1"/>
      <c r="D452" s="1"/>
      <c r="E452" s="1"/>
      <c r="F452" s="1"/>
      <c r="G452" s="1"/>
      <c r="H452" s="1"/>
      <c r="I452" s="1"/>
    </row>
  </sheetData>
  <mergeCells count="35">
    <mergeCell ref="B355:C355"/>
    <mergeCell ref="G69:I69"/>
    <mergeCell ref="G70:I70"/>
    <mergeCell ref="G71:I71"/>
    <mergeCell ref="H270:I270"/>
    <mergeCell ref="B352:C352"/>
    <mergeCell ref="B353:C353"/>
    <mergeCell ref="B354:C354"/>
    <mergeCell ref="B270:B271"/>
    <mergeCell ref="C270:C271"/>
    <mergeCell ref="D270:E270"/>
    <mergeCell ref="F270:G270"/>
    <mergeCell ref="B195:B196"/>
    <mergeCell ref="B5:N5"/>
    <mergeCell ref="G73:I73"/>
    <mergeCell ref="G74:I74"/>
    <mergeCell ref="G75:I75"/>
    <mergeCell ref="J195:K195"/>
    <mergeCell ref="H195:I195"/>
    <mergeCell ref="G95:I95"/>
    <mergeCell ref="G89:I89"/>
    <mergeCell ref="G90:I90"/>
    <mergeCell ref="G91:I91"/>
    <mergeCell ref="G92:I92"/>
    <mergeCell ref="G93:I93"/>
    <mergeCell ref="G94:I94"/>
    <mergeCell ref="G83:I83"/>
    <mergeCell ref="G85:I85"/>
    <mergeCell ref="G86:I86"/>
    <mergeCell ref="G87:I87"/>
    <mergeCell ref="G81:I81"/>
    <mergeCell ref="G82:I82"/>
    <mergeCell ref="C195:C196"/>
    <mergeCell ref="D195:E195"/>
    <mergeCell ref="F195:G195"/>
  </mergeCells>
  <hyperlinks>
    <hyperlink ref="G18" location="PlasticVol" display="Plastic recovered and reused in manufacture of RPCs (metric tonnes)" xr:uid="{00000000-0004-0000-0200-000000000000}"/>
    <hyperlink ref="G22" location="BPFootnote" display="Footnotes" xr:uid="{00000000-0004-0000-0200-000001000000}"/>
    <hyperlink ref="B7" location="NatRes" display="Natural Resources;" xr:uid="{00000000-0004-0000-0200-000002000000}"/>
    <hyperlink ref="B8" location="WoodVol" display="Wood purchased for manufacture and repair of pallets " xr:uid="{00000000-0004-0000-0200-000003000000}"/>
    <hyperlink ref="B9" location="Volume_of_wood_by_classification_and_segment_for_the_Year" display="Volume of wood by classification and segment for the year (%)" xr:uid="{00000000-0004-0000-0200-000004000000}"/>
    <hyperlink ref="B10" location="Wood_volume__m3__by_forest_source_certification" display="Wood volume (m3) by forest source certification" xr:uid="{00000000-0004-0000-0200-000005000000}"/>
    <hyperlink ref="B11" location="Wood_volume_by_continent_of_origin" display="Wood volume by continent of origin (%)" xr:uid="{00000000-0004-0000-0200-000006000000}"/>
    <hyperlink ref="B12" location="Plastic_purchased_for_manufacture_of_RPCs" display="Plastic purchased for manufacture of RPCs" xr:uid="{00000000-0004-0000-0200-000007000000}"/>
    <hyperlink ref="B13" location="Volume_of_plastic__tonnes" display="Volume of plastic (tonnes)" xr:uid="{00000000-0004-0000-0200-000008000000}"/>
    <hyperlink ref="B14" location="Detergent_purchased_for_washing_of_pallets__RPCs_and_containers" display="Detergent purchased for washing of pallets, RPCs and containers" xr:uid="{00000000-0004-0000-0200-000009000000}"/>
    <hyperlink ref="B15" location="Volume_of_detergent__litres" display="Volume of detergent (litres)" xr:uid="{00000000-0004-0000-0200-00000A000000}"/>
    <hyperlink ref="B16" location="Water" display="Water" xr:uid="{00000000-0004-0000-0200-00000B000000}"/>
    <hyperlink ref="B17" location="Water_consumed__megalitres___15" display="Water consumed (megalitres) " xr:uid="{00000000-0004-0000-0200-00000C000000}"/>
    <hyperlink ref="B18" location="Water_recycled__megalitres" display="Water recycled (megalitres)" xr:uid="{00000000-0004-0000-0200-00000D000000}"/>
    <hyperlink ref="B19" location="Water_discharged__megalitres___16" display="Water discharged (megalitres)" xr:uid="{00000000-0004-0000-0200-00000E000000}"/>
    <hyperlink ref="B20" location="Rainwater_harvested__megalitres___16" display="Rainwater harvested (megalitres)" xr:uid="{00000000-0004-0000-0200-00000F000000}"/>
    <hyperlink ref="G7" location="Energy_and_Emissions" display="Energy and Emissions" xr:uid="{00000000-0004-0000-0200-000010000000}"/>
    <hyperlink ref="G8" location="Kilotonnes__kt__of_CO2_e__4___Scope_1_and_2" display="Kilotonnes (kt) of CO2-e [4] (Scope 1 and 2)" xr:uid="{00000000-0004-0000-0200-000011000000}"/>
    <hyperlink ref="G9" location="Terajoules__TJ__of_energy__Scope_1_and_2" display="Terajoules (TJ) of energy (Scope 1 and 2)" xr:uid="{00000000-0004-0000-0200-000012000000}"/>
    <hyperlink ref="G10" location="Emissions_intensity__kg_per_unit" display="Emissions intensity (kg per unit)" xr:uid="{00000000-0004-0000-0200-000013000000}"/>
    <hyperlink ref="G11" location="Greenhouse_gas__GHG__emissions__detail" display="Greenhouse gas (GHG) emissions (detail)" xr:uid="{00000000-0004-0000-0200-000014000000}"/>
    <hyperlink ref="G12" location="GHG_generation_by_source" display="GHG generation by source (%)" xr:uid="{00000000-0004-0000-0200-000015000000}"/>
    <hyperlink ref="G13" location="Greenhouse_gas__GHG__emissions__Scope_3" display="Greenhouse gas (GHG) emissions (Scope 3)" xr:uid="{00000000-0004-0000-0200-000016000000}"/>
    <hyperlink ref="G14" location="Waste_and_recycling" display="Waste, reuse and recycling" xr:uid="{00000000-0004-0000-0200-000017000000}"/>
    <hyperlink ref="G15" location="General_waste__recycling_and_hazardous_waste__metric_tonnes" display="General waste, recycling and hazardous waste (metric tonnes)" xr:uid="{00000000-0004-0000-0200-000018000000}"/>
    <hyperlink ref="G16" location="Wood_reclaimed__Pallets___metric_tonnes" display="Wood reclaimed (Pallets) (metric tonnes)" xr:uid="{00000000-0004-0000-0200-000019000000}"/>
    <hyperlink ref="G17" location="Brambles’_recycling_efforts__excluding_reclaimed___metric_tonnes" display="Brambles’ recycling efforts (excluding reclaimed) (metric tonnes)" xr:uid="{00000000-0004-0000-0200-00001A000000}"/>
    <hyperlink ref="J138" location="FN1BP" display="545.66 [1]" xr:uid="{00000000-0004-0000-0200-00001B000000}"/>
    <hyperlink ref="H187" location="FN3BP" display="FY16 [3]" xr:uid="{00000000-0004-0000-0200-00001C000000}"/>
    <hyperlink ref="C288" location="FN4BP" display="Pallets – outsourced service centres [4]" xr:uid="{00000000-0004-0000-0200-00001D000000}"/>
    <hyperlink ref="C293" location="FN4BP" display="Pallets – outsourced service centres [4]" xr:uid="{00000000-0004-0000-0200-00001E000000}"/>
    <hyperlink ref="C298" location="FN4BP" display="Pallets – outsourced service centres [4]" xr:uid="{00000000-0004-0000-0200-00001F000000}"/>
    <hyperlink ref="C304" location="FN4BP" display="Pallets – outsourced service centres [4]" xr:uid="{00000000-0004-0000-0200-000020000000}"/>
    <hyperlink ref="C307" location="FN5BP" display="RPCs - transport [5]" xr:uid="{00000000-0004-0000-0200-000021000000}"/>
    <hyperlink ref="C221" location="FN6BP" display="Pallets EMEA [6]" xr:uid="{00000000-0004-0000-0200-000022000000}"/>
    <hyperlink ref="B190" location="FN7BP" display="Reported (TEU Intensity) [7]" xr:uid="{00000000-0004-0000-0200-000023000000}"/>
    <hyperlink ref="G19" location="Purchase_of_Credits" display="Purchase of Credits" xr:uid="{00000000-0004-0000-0200-000024000000}"/>
    <hyperlink ref="G20" location="Offset_Credits_Purchased___Through_Carbon_Neutral_Pallet_Promotion__8" display="Offset Credits Purchased - Through Carbon Neutral Pallet Promotion [8]" xr:uid="{00000000-0004-0000-0200-000025000000}"/>
    <hyperlink ref="G21" location="Renewable_Energy_Certificate_Credits_Purchased___Covering_Scope_2_emissions__9" display="Renewable Energy Certificate Credits Purchased - Covering Scope 2 emissions [9]" xr:uid="{00000000-0004-0000-0200-000026000000}"/>
    <hyperlink ref="C214" location="FN6BP" display="Pallets EMEA [6]" xr:uid="{F2DCE7E0-64C5-4B70-934C-53186217EFBD}"/>
    <hyperlink ref="C283" location="FN4BP" display="Pallets – outsourced service centres [4]" xr:uid="{55914F15-1053-4B30-B2CD-ADA96B1EF65F}"/>
    <hyperlink ref="B205" location="'Better Planet'!B445" display="(inc IFCO) [13]" xr:uid="{5EB7EDED-659F-487F-A355-5140A8DFFFAA}"/>
  </hyperlink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6" tint="0.39997558519241921"/>
  </sheetPr>
  <dimension ref="A1:O181"/>
  <sheetViews>
    <sheetView showGridLines="0" workbookViewId="0">
      <selection activeCell="J143" sqref="J143"/>
    </sheetView>
  </sheetViews>
  <sheetFormatPr defaultColWidth="11" defaultRowHeight="15.5" x14ac:dyDescent="0.35"/>
  <cols>
    <col min="1" max="1" width="3.08203125" customWidth="1"/>
    <col min="2" max="2" width="18.5" customWidth="1"/>
    <col min="3" max="3" width="18.08203125" bestFit="1" customWidth="1"/>
    <col min="4" max="4" width="12" customWidth="1"/>
    <col min="5" max="5" width="13" customWidth="1"/>
    <col min="6" max="6" width="15.5" customWidth="1"/>
    <col min="7" max="7" width="13" customWidth="1"/>
  </cols>
  <sheetData>
    <row r="1" spans="1:14" s="25" customFormat="1" x14ac:dyDescent="0.35">
      <c r="A1" s="24"/>
      <c r="F1" s="681" t="s">
        <v>365</v>
      </c>
      <c r="G1" s="681"/>
      <c r="H1" s="681"/>
      <c r="I1" s="681"/>
    </row>
    <row r="2" spans="1:14" s="25" customFormat="1" ht="29" x14ac:dyDescent="0.45">
      <c r="B2" s="185" t="s">
        <v>366</v>
      </c>
      <c r="C2" s="26"/>
      <c r="D2" s="27"/>
      <c r="E2" s="27"/>
      <c r="F2" s="681"/>
      <c r="G2" s="681"/>
      <c r="H2" s="681"/>
      <c r="I2" s="681"/>
      <c r="K2" s="24"/>
    </row>
    <row r="3" spans="1:14" x14ac:dyDescent="0.35">
      <c r="A3" s="13"/>
      <c r="B3" t="s">
        <v>1</v>
      </c>
      <c r="C3" s="252"/>
      <c r="D3" s="13"/>
      <c r="E3" s="13"/>
      <c r="F3" s="13"/>
      <c r="G3" s="13"/>
      <c r="H3" s="13"/>
      <c r="I3" s="13"/>
      <c r="J3" s="13"/>
      <c r="K3" s="13"/>
      <c r="L3" s="13"/>
    </row>
    <row r="4" spans="1:14" x14ac:dyDescent="0.35">
      <c r="A4" s="13"/>
      <c r="B4" s="184" t="s">
        <v>227</v>
      </c>
      <c r="C4" s="12"/>
      <c r="D4" s="13"/>
      <c r="E4" s="13"/>
      <c r="F4" s="13"/>
      <c r="G4" s="13"/>
      <c r="H4" s="13"/>
      <c r="I4" s="13"/>
      <c r="J4" s="13"/>
      <c r="K4" s="13"/>
      <c r="L4" s="13"/>
    </row>
    <row r="5" spans="1:14" x14ac:dyDescent="0.35">
      <c r="A5" s="13"/>
      <c r="B5" t="s">
        <v>367</v>
      </c>
    </row>
    <row r="6" spans="1:14" ht="34.9" customHeight="1" x14ac:dyDescent="0.35">
      <c r="A6" s="13"/>
      <c r="B6" s="649" t="s">
        <v>3</v>
      </c>
      <c r="C6" s="649"/>
      <c r="D6" s="649"/>
      <c r="E6" s="649"/>
      <c r="F6" s="649"/>
      <c r="G6" s="649"/>
      <c r="H6" s="649"/>
      <c r="I6" s="649"/>
      <c r="J6" s="649"/>
      <c r="K6" s="649"/>
      <c r="L6" s="649"/>
      <c r="M6" s="649"/>
      <c r="N6" s="649"/>
    </row>
    <row r="7" spans="1:14" s="25" customFormat="1" ht="17.5" x14ac:dyDescent="0.35">
      <c r="B7" s="188" t="s">
        <v>4</v>
      </c>
    </row>
    <row r="8" spans="1:14" s="260" customFormat="1" x14ac:dyDescent="0.35">
      <c r="B8" s="189" t="s">
        <v>246</v>
      </c>
      <c r="D8" s="189" t="s">
        <v>229</v>
      </c>
      <c r="G8" s="189" t="s">
        <v>322</v>
      </c>
    </row>
    <row r="9" spans="1:14" s="260" customFormat="1" x14ac:dyDescent="0.35">
      <c r="B9" s="183" t="s">
        <v>280</v>
      </c>
      <c r="D9" s="183" t="s">
        <v>282</v>
      </c>
      <c r="G9" s="183" t="s">
        <v>245</v>
      </c>
    </row>
    <row r="10" spans="1:14" s="260" customFormat="1" x14ac:dyDescent="0.35">
      <c r="B10" s="183" t="s">
        <v>250</v>
      </c>
      <c r="D10" s="183" t="s">
        <v>235</v>
      </c>
      <c r="G10"/>
    </row>
    <row r="11" spans="1:14" s="260" customFormat="1" x14ac:dyDescent="0.35">
      <c r="B11" s="183" t="s">
        <v>254</v>
      </c>
      <c r="D11" s="183" t="s">
        <v>237</v>
      </c>
    </row>
    <row r="12" spans="1:14" s="260" customFormat="1" x14ac:dyDescent="0.35"/>
    <row r="13" spans="1:14" s="25" customFormat="1" ht="25" x14ac:dyDescent="0.45">
      <c r="B13" s="188" t="s">
        <v>246</v>
      </c>
      <c r="C13" s="29"/>
      <c r="D13" s="27"/>
      <c r="E13" s="27"/>
      <c r="F13" s="27"/>
      <c r="G13" s="27"/>
      <c r="H13" s="27"/>
      <c r="I13" s="27"/>
      <c r="J13" s="27"/>
      <c r="K13" s="40"/>
      <c r="L13" s="40"/>
    </row>
    <row r="14" spans="1:14" ht="6" customHeight="1" x14ac:dyDescent="0.45">
      <c r="C14" s="57"/>
      <c r="D14" s="31"/>
      <c r="E14" s="31"/>
      <c r="F14" s="31"/>
      <c r="G14" s="31"/>
      <c r="H14" s="31"/>
      <c r="I14" s="31"/>
      <c r="J14" s="31"/>
      <c r="K14" s="16"/>
      <c r="L14" s="16"/>
    </row>
    <row r="15" spans="1:14" s="25" customFormat="1" ht="17.5" x14ac:dyDescent="0.45">
      <c r="B15" s="32" t="s">
        <v>280</v>
      </c>
      <c r="C15" s="32"/>
      <c r="D15" s="27"/>
      <c r="E15" s="27"/>
      <c r="F15" s="27"/>
      <c r="G15" s="27"/>
      <c r="H15" s="27"/>
      <c r="I15" s="27"/>
      <c r="J15" s="27"/>
      <c r="K15" s="27"/>
      <c r="L15" s="40"/>
    </row>
    <row r="16" spans="1:14" ht="6" customHeight="1" thickBot="1" x14ac:dyDescent="0.5">
      <c r="B16" s="30"/>
      <c r="C16" s="30"/>
      <c r="D16" s="31"/>
      <c r="E16" s="16"/>
      <c r="F16" s="31"/>
      <c r="G16" s="31"/>
      <c r="H16" s="31"/>
      <c r="I16" s="31"/>
      <c r="J16" s="31"/>
      <c r="K16" s="31"/>
      <c r="L16" s="16"/>
    </row>
    <row r="17" spans="2:15" ht="32" x14ac:dyDescent="0.45">
      <c r="B17" s="631" t="s">
        <v>275</v>
      </c>
      <c r="C17" s="631" t="s">
        <v>33</v>
      </c>
      <c r="D17" s="631" t="s">
        <v>34</v>
      </c>
      <c r="E17" s="631" t="s">
        <v>35</v>
      </c>
      <c r="F17" s="631" t="s">
        <v>36</v>
      </c>
      <c r="G17" s="631" t="s">
        <v>37</v>
      </c>
      <c r="H17" s="631" t="s">
        <v>57</v>
      </c>
      <c r="I17" s="631" t="s">
        <v>39</v>
      </c>
      <c r="J17" s="16"/>
      <c r="K17" s="16"/>
      <c r="L17" s="16"/>
      <c r="M17" s="16"/>
    </row>
    <row r="18" spans="2:15" ht="17.5" x14ac:dyDescent="0.45">
      <c r="B18" s="33" t="s">
        <v>368</v>
      </c>
      <c r="C18" s="197"/>
      <c r="D18" s="197"/>
      <c r="E18" s="197"/>
      <c r="F18" s="197"/>
      <c r="G18" s="198"/>
      <c r="H18" s="198"/>
      <c r="I18" s="198"/>
      <c r="J18" s="31"/>
      <c r="K18" s="31"/>
      <c r="L18" s="16"/>
      <c r="M18" s="16"/>
      <c r="N18" s="1"/>
      <c r="O18" s="1"/>
    </row>
    <row r="19" spans="2:15" ht="17.5" x14ac:dyDescent="0.45">
      <c r="B19" s="33" t="s">
        <v>369</v>
      </c>
      <c r="C19" s="197"/>
      <c r="D19" s="197"/>
      <c r="E19" s="197"/>
      <c r="F19" s="197"/>
      <c r="G19" s="198"/>
      <c r="H19" s="198"/>
      <c r="I19" s="198"/>
      <c r="J19" s="31"/>
      <c r="K19" s="31"/>
      <c r="L19" s="16"/>
      <c r="M19" s="16"/>
      <c r="N19" s="1"/>
      <c r="O19" s="1"/>
    </row>
    <row r="20" spans="2:15" ht="17.5" x14ac:dyDescent="0.45">
      <c r="B20" s="33" t="s">
        <v>370</v>
      </c>
      <c r="C20" s="197"/>
      <c r="D20" s="197"/>
      <c r="E20" s="197"/>
      <c r="F20" s="197"/>
      <c r="G20" s="198"/>
      <c r="H20" s="198"/>
      <c r="I20" s="198"/>
      <c r="J20" s="31"/>
      <c r="K20" s="31"/>
      <c r="L20" s="16"/>
      <c r="M20" s="16"/>
      <c r="N20" s="1"/>
      <c r="O20" s="1"/>
    </row>
    <row r="21" spans="2:15" ht="32" x14ac:dyDescent="0.45">
      <c r="B21" s="33" t="s">
        <v>371</v>
      </c>
      <c r="C21" s="197"/>
      <c r="D21" s="197"/>
      <c r="E21" s="197"/>
      <c r="F21" s="197"/>
      <c r="G21" s="198"/>
      <c r="H21" s="198"/>
      <c r="I21" s="198"/>
      <c r="J21" s="31"/>
      <c r="K21" s="31"/>
      <c r="L21" s="16"/>
      <c r="M21" s="16"/>
      <c r="N21" s="1"/>
      <c r="O21" s="1"/>
    </row>
    <row r="22" spans="2:15" ht="17.5" x14ac:dyDescent="0.45">
      <c r="B22" s="33" t="s">
        <v>372</v>
      </c>
      <c r="C22" s="197"/>
      <c r="D22" s="197"/>
      <c r="E22" s="197"/>
      <c r="F22" s="197"/>
      <c r="G22" s="198"/>
      <c r="H22" s="198"/>
      <c r="I22" s="198"/>
      <c r="J22" s="31"/>
      <c r="K22" s="31"/>
      <c r="L22" s="16"/>
      <c r="M22" s="16"/>
      <c r="N22" s="1"/>
      <c r="O22" s="1"/>
    </row>
    <row r="23" spans="2:15" ht="17.5" x14ac:dyDescent="0.45">
      <c r="B23" s="33" t="s">
        <v>373</v>
      </c>
      <c r="C23" s="197"/>
      <c r="D23" s="197"/>
      <c r="E23" s="197"/>
      <c r="F23" s="197"/>
      <c r="G23" s="198"/>
      <c r="H23" s="198"/>
      <c r="I23" s="198"/>
      <c r="J23" s="31"/>
      <c r="K23" s="31"/>
      <c r="L23" s="16"/>
      <c r="M23" s="16"/>
      <c r="N23" s="1"/>
      <c r="O23" s="1"/>
    </row>
    <row r="24" spans="2:15" ht="18" thickBot="1" x14ac:dyDescent="0.5">
      <c r="B24" s="35" t="s">
        <v>260</v>
      </c>
      <c r="C24" s="165">
        <f>SUM(C18:C23)</f>
        <v>0</v>
      </c>
      <c r="D24" s="165">
        <f>SUM(D18:D23)</f>
        <v>0</v>
      </c>
      <c r="E24" s="165">
        <v>0</v>
      </c>
      <c r="F24" s="165">
        <f t="shared" ref="F24" si="0">SUM(F18:F23)</f>
        <v>0</v>
      </c>
      <c r="G24" s="165">
        <f t="shared" ref="G24" si="1">SUM(G18:G23)</f>
        <v>0</v>
      </c>
      <c r="H24" s="165">
        <f t="shared" ref="H24" si="2">SUM(H18:H23)</f>
        <v>0</v>
      </c>
      <c r="I24" s="165">
        <f t="shared" ref="I24" si="3">SUM(I18:I23)</f>
        <v>0</v>
      </c>
      <c r="J24" s="31"/>
      <c r="K24" s="31"/>
      <c r="L24" s="16"/>
      <c r="M24" s="16"/>
    </row>
    <row r="25" spans="2:15" ht="17.5" x14ac:dyDescent="0.45">
      <c r="B25" s="30"/>
      <c r="C25" s="30"/>
      <c r="D25" s="16"/>
      <c r="E25" s="31"/>
      <c r="F25" s="31"/>
      <c r="G25" s="31"/>
      <c r="H25" s="31"/>
      <c r="I25" s="31"/>
      <c r="J25" s="31"/>
      <c r="K25" s="16"/>
      <c r="L25" s="16"/>
    </row>
    <row r="26" spans="2:15" s="25" customFormat="1" ht="17.5" x14ac:dyDescent="0.45">
      <c r="B26" s="32" t="s">
        <v>250</v>
      </c>
      <c r="C26" s="32"/>
      <c r="D26" s="27"/>
      <c r="E26" s="27"/>
      <c r="F26" s="27"/>
      <c r="G26" s="27"/>
      <c r="H26" s="27"/>
      <c r="I26" s="27"/>
      <c r="J26" s="27"/>
      <c r="K26" s="27"/>
      <c r="L26" s="40"/>
    </row>
    <row r="27" spans="2:15" ht="6" customHeight="1" thickBot="1" x14ac:dyDescent="0.5">
      <c r="B27" s="30"/>
      <c r="C27" s="30"/>
      <c r="D27" s="31"/>
      <c r="E27" s="16"/>
      <c r="F27" s="31"/>
      <c r="G27" s="31"/>
      <c r="H27" s="31"/>
      <c r="I27" s="31"/>
      <c r="J27" s="31"/>
      <c r="K27" s="31"/>
      <c r="L27" s="16"/>
    </row>
    <row r="28" spans="2:15" ht="32" x14ac:dyDescent="0.45">
      <c r="B28" s="631" t="s">
        <v>275</v>
      </c>
      <c r="C28" s="631" t="s">
        <v>33</v>
      </c>
      <c r="D28" s="631" t="s">
        <v>34</v>
      </c>
      <c r="E28" s="631" t="s">
        <v>35</v>
      </c>
      <c r="F28" s="631" t="s">
        <v>36</v>
      </c>
      <c r="G28" s="631" t="s">
        <v>37</v>
      </c>
      <c r="H28" s="631" t="s">
        <v>57</v>
      </c>
      <c r="I28" s="631" t="s">
        <v>39</v>
      </c>
      <c r="J28" s="16"/>
      <c r="K28" s="16"/>
      <c r="L28" s="16"/>
      <c r="M28" s="16"/>
    </row>
    <row r="29" spans="2:15" ht="17.5" x14ac:dyDescent="0.45">
      <c r="B29" s="33" t="s">
        <v>368</v>
      </c>
      <c r="C29" s="197"/>
      <c r="D29" s="197"/>
      <c r="E29" s="197"/>
      <c r="F29" s="197"/>
      <c r="G29" s="198"/>
      <c r="H29" s="198"/>
      <c r="I29" s="198"/>
      <c r="J29" s="31"/>
      <c r="K29" s="31"/>
      <c r="L29" s="16"/>
      <c r="M29" s="16"/>
      <c r="N29" s="1"/>
      <c r="O29" s="1"/>
    </row>
    <row r="30" spans="2:15" ht="17.5" x14ac:dyDescent="0.45">
      <c r="B30" s="33" t="s">
        <v>369</v>
      </c>
      <c r="C30" s="197"/>
      <c r="D30" s="197"/>
      <c r="E30" s="197"/>
      <c r="F30" s="197"/>
      <c r="G30" s="198"/>
      <c r="H30" s="198"/>
      <c r="I30" s="198"/>
      <c r="J30" s="31"/>
      <c r="K30" s="31"/>
      <c r="L30" s="16"/>
      <c r="M30" s="16"/>
      <c r="N30" s="1"/>
      <c r="O30" s="1"/>
    </row>
    <row r="31" spans="2:15" ht="17.5" x14ac:dyDescent="0.45">
      <c r="B31" s="33" t="s">
        <v>370</v>
      </c>
      <c r="C31" s="197"/>
      <c r="D31" s="197"/>
      <c r="E31" s="197"/>
      <c r="F31" s="197"/>
      <c r="G31" s="198"/>
      <c r="H31" s="198"/>
      <c r="I31" s="198"/>
      <c r="J31" s="31"/>
      <c r="K31" s="31"/>
      <c r="L31" s="16"/>
      <c r="M31" s="16"/>
      <c r="N31" s="1"/>
      <c r="O31" s="1"/>
    </row>
    <row r="32" spans="2:15" ht="32" x14ac:dyDescent="0.45">
      <c r="B32" s="33" t="s">
        <v>371</v>
      </c>
      <c r="C32" s="197"/>
      <c r="D32" s="197"/>
      <c r="E32" s="197"/>
      <c r="F32" s="197"/>
      <c r="G32" s="198"/>
      <c r="H32" s="198"/>
      <c r="I32" s="198"/>
      <c r="J32" s="31"/>
      <c r="K32" s="31"/>
      <c r="L32" s="16"/>
      <c r="M32" s="16"/>
      <c r="N32" s="1"/>
      <c r="O32" s="1"/>
    </row>
    <row r="33" spans="2:15" ht="17.5" x14ac:dyDescent="0.45">
      <c r="B33" s="33" t="s">
        <v>372</v>
      </c>
      <c r="C33" s="197"/>
      <c r="D33" s="197"/>
      <c r="E33" s="197"/>
      <c r="F33" s="197"/>
      <c r="G33" s="198"/>
      <c r="H33" s="198"/>
      <c r="I33" s="198"/>
      <c r="J33" s="31"/>
      <c r="K33" s="31"/>
      <c r="L33" s="16"/>
      <c r="M33" s="16"/>
      <c r="N33" s="1"/>
      <c r="O33" s="1"/>
    </row>
    <row r="34" spans="2:15" ht="17.5" x14ac:dyDescent="0.45">
      <c r="B34" s="33" t="s">
        <v>373</v>
      </c>
      <c r="C34" s="197"/>
      <c r="D34" s="197"/>
      <c r="E34" s="197"/>
      <c r="F34" s="197"/>
      <c r="G34" s="198"/>
      <c r="H34" s="198"/>
      <c r="I34" s="198"/>
      <c r="J34" s="31"/>
      <c r="K34" s="31"/>
      <c r="L34" s="16"/>
      <c r="M34" s="16"/>
      <c r="N34" s="1"/>
      <c r="O34" s="1"/>
    </row>
    <row r="35" spans="2:15" ht="18" thickBot="1" x14ac:dyDescent="0.5">
      <c r="B35" s="35" t="s">
        <v>260</v>
      </c>
      <c r="C35" s="165">
        <f>SUM(C29:C34)</f>
        <v>0</v>
      </c>
      <c r="D35" s="165">
        <f>SUM(D29:D34)</f>
        <v>0</v>
      </c>
      <c r="E35" s="165"/>
      <c r="F35" s="165">
        <f t="shared" ref="F35:I35" si="4">SUM(F29:F34)</f>
        <v>0</v>
      </c>
      <c r="G35" s="165">
        <f t="shared" si="4"/>
        <v>0</v>
      </c>
      <c r="H35" s="165">
        <f t="shared" si="4"/>
        <v>0</v>
      </c>
      <c r="I35" s="165">
        <f t="shared" si="4"/>
        <v>0</v>
      </c>
      <c r="J35" s="31"/>
      <c r="K35" s="31"/>
      <c r="L35" s="16"/>
      <c r="M35" s="16"/>
    </row>
    <row r="36" spans="2:15" ht="17.5" x14ac:dyDescent="0.45">
      <c r="B36" s="413"/>
      <c r="C36" s="434"/>
      <c r="D36" s="434"/>
      <c r="E36" s="434"/>
      <c r="F36" s="434"/>
      <c r="G36" s="434"/>
      <c r="H36" s="434"/>
      <c r="I36" s="31"/>
      <c r="J36" s="31"/>
      <c r="K36" s="16"/>
      <c r="L36" s="16"/>
    </row>
    <row r="37" spans="2:15" s="25" customFormat="1" ht="17.5" x14ac:dyDescent="0.45">
      <c r="B37" s="32" t="s">
        <v>254</v>
      </c>
      <c r="C37" s="32"/>
      <c r="D37" s="27"/>
      <c r="E37" s="27"/>
      <c r="F37" s="27"/>
      <c r="G37" s="27"/>
      <c r="H37" s="27"/>
      <c r="I37" s="27"/>
      <c r="J37" s="27"/>
      <c r="K37" s="27"/>
      <c r="L37" s="40"/>
    </row>
    <row r="38" spans="2:15" ht="6" customHeight="1" thickBot="1" x14ac:dyDescent="0.5">
      <c r="B38" s="30"/>
      <c r="C38" s="30"/>
      <c r="D38" s="31"/>
      <c r="E38" s="16"/>
      <c r="F38" s="31"/>
      <c r="G38" s="31"/>
      <c r="H38" s="31"/>
      <c r="I38" s="31"/>
      <c r="J38" s="31"/>
      <c r="K38" s="31"/>
      <c r="L38" s="16"/>
    </row>
    <row r="39" spans="2:15" ht="32" x14ac:dyDescent="0.45">
      <c r="B39" s="631" t="s">
        <v>275</v>
      </c>
      <c r="C39" s="631" t="s">
        <v>33</v>
      </c>
      <c r="D39" s="631" t="s">
        <v>34</v>
      </c>
      <c r="E39" s="631" t="s">
        <v>35</v>
      </c>
      <c r="F39" s="631" t="s">
        <v>36</v>
      </c>
      <c r="G39" s="631" t="s">
        <v>37</v>
      </c>
      <c r="H39" s="631" t="s">
        <v>57</v>
      </c>
      <c r="I39" s="631" t="s">
        <v>39</v>
      </c>
      <c r="J39" s="16"/>
      <c r="K39" s="16"/>
      <c r="L39" s="16"/>
      <c r="M39" s="16"/>
    </row>
    <row r="40" spans="2:15" ht="17.5" x14ac:dyDescent="0.45">
      <c r="B40" s="33" t="s">
        <v>368</v>
      </c>
      <c r="C40" s="197"/>
      <c r="D40" s="197"/>
      <c r="E40" s="197"/>
      <c r="F40" s="197"/>
      <c r="G40" s="198"/>
      <c r="H40" s="198"/>
      <c r="I40" s="198"/>
      <c r="J40" s="31"/>
      <c r="K40" s="31"/>
      <c r="L40" s="16"/>
      <c r="M40" s="16"/>
      <c r="N40" s="1"/>
      <c r="O40" s="1"/>
    </row>
    <row r="41" spans="2:15" ht="17.5" x14ac:dyDescent="0.45">
      <c r="B41" s="33" t="s">
        <v>369</v>
      </c>
      <c r="C41" s="197"/>
      <c r="D41" s="197"/>
      <c r="E41" s="197"/>
      <c r="F41" s="197"/>
      <c r="G41" s="198"/>
      <c r="H41" s="198"/>
      <c r="I41" s="198"/>
      <c r="J41" s="31"/>
      <c r="K41" s="31"/>
      <c r="L41" s="16"/>
      <c r="M41" s="16"/>
      <c r="N41" s="1"/>
      <c r="O41" s="1"/>
    </row>
    <row r="42" spans="2:15" ht="17.5" x14ac:dyDescent="0.45">
      <c r="B42" s="33" t="s">
        <v>370</v>
      </c>
      <c r="C42" s="197"/>
      <c r="D42" s="197"/>
      <c r="E42" s="197"/>
      <c r="F42" s="197"/>
      <c r="G42" s="198"/>
      <c r="H42" s="198"/>
      <c r="I42" s="198"/>
      <c r="J42" s="31"/>
      <c r="K42" s="31"/>
      <c r="L42" s="16"/>
      <c r="M42" s="16"/>
      <c r="N42" s="1"/>
      <c r="O42" s="1"/>
    </row>
    <row r="43" spans="2:15" ht="32" x14ac:dyDescent="0.45">
      <c r="B43" s="33" t="s">
        <v>371</v>
      </c>
      <c r="C43" s="197"/>
      <c r="D43" s="197"/>
      <c r="E43" s="197"/>
      <c r="F43" s="197"/>
      <c r="G43" s="198"/>
      <c r="H43" s="198"/>
      <c r="I43" s="198"/>
      <c r="J43" s="31"/>
      <c r="K43" s="31"/>
      <c r="L43" s="16"/>
      <c r="M43" s="16"/>
      <c r="N43" s="1"/>
      <c r="O43" s="1"/>
    </row>
    <row r="44" spans="2:15" ht="17.5" x14ac:dyDescent="0.45">
      <c r="B44" s="33" t="s">
        <v>372</v>
      </c>
      <c r="C44" s="197"/>
      <c r="D44" s="197"/>
      <c r="E44" s="197"/>
      <c r="F44" s="197"/>
      <c r="G44" s="198"/>
      <c r="H44" s="198"/>
      <c r="I44" s="198"/>
      <c r="J44" s="31"/>
      <c r="K44" s="31"/>
      <c r="L44" s="16"/>
      <c r="M44" s="16"/>
      <c r="N44" s="1"/>
      <c r="O44" s="1"/>
    </row>
    <row r="45" spans="2:15" ht="17.5" x14ac:dyDescent="0.45">
      <c r="B45" s="33" t="s">
        <v>373</v>
      </c>
      <c r="C45" s="197"/>
      <c r="D45" s="197"/>
      <c r="E45" s="197"/>
      <c r="F45" s="197"/>
      <c r="G45" s="198"/>
      <c r="H45" s="198"/>
      <c r="I45" s="198"/>
      <c r="J45" s="31"/>
      <c r="K45" s="31"/>
      <c r="L45" s="16"/>
      <c r="M45" s="16"/>
      <c r="N45" s="1"/>
      <c r="O45" s="1"/>
    </row>
    <row r="46" spans="2:15" ht="18" thickBot="1" x14ac:dyDescent="0.5">
      <c r="B46" s="35" t="s">
        <v>260</v>
      </c>
      <c r="C46" s="165">
        <f>SUM(C40:C45)</f>
        <v>0</v>
      </c>
      <c r="D46" s="165">
        <f>SUM(D40:D45)</f>
        <v>0</v>
      </c>
      <c r="E46" s="165"/>
      <c r="F46" s="165">
        <f t="shared" ref="F46:I46" si="5">SUM(F40:F45)</f>
        <v>0</v>
      </c>
      <c r="G46" s="165">
        <f t="shared" si="5"/>
        <v>0</v>
      </c>
      <c r="H46" s="165">
        <f t="shared" si="5"/>
        <v>0</v>
      </c>
      <c r="I46" s="165">
        <f t="shared" si="5"/>
        <v>0</v>
      </c>
      <c r="J46" s="31"/>
      <c r="K46" s="31"/>
      <c r="L46" s="31"/>
      <c r="M46" s="31"/>
      <c r="N46" s="1"/>
    </row>
    <row r="47" spans="2:15" ht="17.5" x14ac:dyDescent="0.45">
      <c r="B47" s="413"/>
      <c r="C47" s="434"/>
      <c r="D47" s="434"/>
      <c r="E47" s="434"/>
      <c r="F47" s="434"/>
      <c r="G47" s="434"/>
      <c r="H47" s="434"/>
      <c r="I47" s="31"/>
      <c r="J47" s="31"/>
      <c r="K47" s="31"/>
      <c r="L47" s="31"/>
      <c r="M47" s="1"/>
    </row>
    <row r="48" spans="2:15" s="25" customFormat="1" ht="21" x14ac:dyDescent="0.45">
      <c r="B48" s="187" t="s">
        <v>229</v>
      </c>
      <c r="C48" s="187"/>
      <c r="D48" s="27"/>
      <c r="E48" s="27"/>
      <c r="F48" s="27"/>
      <c r="G48" s="27"/>
      <c r="H48" s="27"/>
      <c r="I48" s="27"/>
      <c r="J48" s="27"/>
      <c r="K48" s="40"/>
      <c r="L48" s="40"/>
    </row>
    <row r="49" spans="2:15" ht="6" customHeight="1" x14ac:dyDescent="0.45">
      <c r="B49" s="30"/>
      <c r="C49" s="30"/>
      <c r="D49" s="31"/>
      <c r="E49" s="31"/>
      <c r="F49" s="31"/>
      <c r="G49" s="31"/>
      <c r="H49" s="31"/>
      <c r="I49" s="31"/>
      <c r="J49" s="31"/>
      <c r="K49" s="16"/>
      <c r="L49" s="16"/>
    </row>
    <row r="50" spans="2:15" s="25" customFormat="1" ht="17.5" x14ac:dyDescent="0.45">
      <c r="B50" s="32" t="s">
        <v>282</v>
      </c>
      <c r="C50" s="32"/>
      <c r="D50" s="27"/>
      <c r="E50" s="27"/>
      <c r="F50" s="27"/>
      <c r="G50" s="27"/>
      <c r="H50" s="27"/>
      <c r="I50" s="27"/>
      <c r="J50" s="27"/>
      <c r="K50" s="27"/>
      <c r="L50" s="40"/>
    </row>
    <row r="51" spans="2:15" ht="6" customHeight="1" thickBot="1" x14ac:dyDescent="0.5">
      <c r="B51" s="30"/>
      <c r="C51" s="30"/>
      <c r="D51" s="31"/>
      <c r="E51" s="16"/>
      <c r="F51" s="31"/>
      <c r="G51" s="31"/>
      <c r="H51" s="31"/>
      <c r="I51" s="31"/>
      <c r="J51" s="31"/>
      <c r="K51" s="31"/>
      <c r="L51" s="16"/>
    </row>
    <row r="52" spans="2:15" ht="32" x14ac:dyDescent="0.45">
      <c r="B52" s="631" t="s">
        <v>275</v>
      </c>
      <c r="C52" s="631" t="s">
        <v>33</v>
      </c>
      <c r="D52" s="631" t="s">
        <v>34</v>
      </c>
      <c r="E52" s="631" t="s">
        <v>35</v>
      </c>
      <c r="F52" s="631" t="s">
        <v>36</v>
      </c>
      <c r="G52" s="631" t="s">
        <v>37</v>
      </c>
      <c r="H52" s="631" t="s">
        <v>57</v>
      </c>
      <c r="I52" s="631" t="s">
        <v>39</v>
      </c>
      <c r="J52" s="16"/>
      <c r="K52" s="16"/>
      <c r="L52" s="16"/>
      <c r="M52" s="16"/>
    </row>
    <row r="53" spans="2:15" ht="17.5" x14ac:dyDescent="0.45">
      <c r="B53" s="33" t="s">
        <v>368</v>
      </c>
      <c r="C53" s="197">
        <v>15.811999999999999</v>
      </c>
      <c r="D53" s="197"/>
      <c r="E53" s="197"/>
      <c r="F53" s="197"/>
      <c r="G53" s="198"/>
      <c r="H53" s="198"/>
      <c r="I53" s="198"/>
      <c r="J53" s="31"/>
      <c r="K53" s="31"/>
      <c r="L53" s="16"/>
      <c r="M53" s="16"/>
      <c r="N53" s="1"/>
      <c r="O53" s="1"/>
    </row>
    <row r="54" spans="2:15" ht="17.5" x14ac:dyDescent="0.45">
      <c r="B54" s="33" t="s">
        <v>369</v>
      </c>
      <c r="C54" s="197">
        <v>55</v>
      </c>
      <c r="D54" s="197"/>
      <c r="E54" s="197"/>
      <c r="F54" s="197"/>
      <c r="G54" s="198"/>
      <c r="H54" s="198"/>
      <c r="I54" s="198"/>
      <c r="J54" s="31"/>
      <c r="K54" s="31"/>
      <c r="L54" s="16"/>
      <c r="M54" s="16"/>
      <c r="N54" s="1"/>
      <c r="O54" s="1"/>
    </row>
    <row r="55" spans="2:15" ht="17.5" x14ac:dyDescent="0.45">
      <c r="B55" s="33" t="s">
        <v>370</v>
      </c>
      <c r="C55" s="197">
        <v>4.4329999999999998</v>
      </c>
      <c r="D55" s="197"/>
      <c r="E55" s="197"/>
      <c r="F55" s="197"/>
      <c r="G55" s="198"/>
      <c r="H55" s="198"/>
      <c r="I55" s="198"/>
      <c r="J55" s="31"/>
      <c r="K55" s="31"/>
      <c r="L55" s="16"/>
      <c r="M55" s="16"/>
      <c r="N55" s="1"/>
      <c r="O55" s="1"/>
    </row>
    <row r="56" spans="2:15" ht="32" x14ac:dyDescent="0.45">
      <c r="B56" s="33" t="s">
        <v>371</v>
      </c>
      <c r="C56" s="197">
        <v>7695</v>
      </c>
      <c r="D56" s="197"/>
      <c r="E56" s="197"/>
      <c r="F56" s="197"/>
      <c r="G56" s="198"/>
      <c r="H56" s="198"/>
      <c r="I56" s="198"/>
      <c r="J56" s="31"/>
      <c r="K56" s="31"/>
      <c r="L56" s="16"/>
      <c r="M56" s="16"/>
      <c r="N56" s="1"/>
      <c r="O56" s="1"/>
    </row>
    <row r="57" spans="2:15" ht="17.5" x14ac:dyDescent="0.45">
      <c r="B57" s="33" t="s">
        <v>372</v>
      </c>
      <c r="C57" s="197">
        <v>2185</v>
      </c>
      <c r="D57" s="197"/>
      <c r="E57" s="197"/>
      <c r="F57" s="197"/>
      <c r="G57" s="198"/>
      <c r="H57" s="198"/>
      <c r="I57" s="198"/>
      <c r="J57" s="31"/>
      <c r="K57" s="31"/>
      <c r="L57" s="16"/>
      <c r="M57" s="16"/>
      <c r="N57" s="1"/>
      <c r="O57" s="1"/>
    </row>
    <row r="58" spans="2:15" ht="17.5" x14ac:dyDescent="0.45">
      <c r="B58" s="33" t="s">
        <v>373</v>
      </c>
      <c r="C58" s="197">
        <v>9015</v>
      </c>
      <c r="D58" s="197"/>
      <c r="E58" s="197"/>
      <c r="F58" s="197"/>
      <c r="G58" s="198"/>
      <c r="H58" s="198"/>
      <c r="I58" s="198"/>
      <c r="J58" s="31"/>
      <c r="K58" s="31"/>
      <c r="L58" s="16"/>
      <c r="M58" s="16"/>
      <c r="N58" s="1"/>
      <c r="O58" s="1"/>
    </row>
    <row r="59" spans="2:15" ht="17.5" x14ac:dyDescent="0.45">
      <c r="B59" s="35"/>
      <c r="C59" s="165"/>
      <c r="D59" s="165"/>
      <c r="E59" s="165"/>
      <c r="F59" s="165"/>
      <c r="G59" s="165"/>
      <c r="H59" s="165"/>
      <c r="I59" s="165"/>
      <c r="J59" s="31"/>
      <c r="K59" s="31"/>
      <c r="L59" s="16"/>
      <c r="M59" s="16"/>
      <c r="N59" s="1"/>
      <c r="O59" s="1"/>
    </row>
    <row r="60" spans="2:15" ht="17.5" x14ac:dyDescent="0.45">
      <c r="B60" s="161"/>
      <c r="J60" s="16"/>
      <c r="K60" s="16"/>
      <c r="L60" s="16"/>
    </row>
    <row r="61" spans="2:15" s="25" customFormat="1" ht="17.5" x14ac:dyDescent="0.45">
      <c r="B61" s="32" t="s">
        <v>374</v>
      </c>
      <c r="C61" s="32"/>
      <c r="D61" s="27"/>
      <c r="E61" s="27"/>
      <c r="F61" s="27"/>
      <c r="G61" s="27"/>
      <c r="H61" s="27"/>
      <c r="I61" s="27"/>
      <c r="J61" s="27"/>
      <c r="K61" s="27"/>
      <c r="L61" s="40"/>
    </row>
    <row r="62" spans="2:15" ht="6" customHeight="1" thickBot="1" x14ac:dyDescent="0.5">
      <c r="B62" s="30"/>
      <c r="C62" s="30"/>
      <c r="D62" s="31"/>
      <c r="E62" s="16"/>
      <c r="F62" s="31"/>
      <c r="G62" s="31"/>
      <c r="H62" s="31"/>
      <c r="I62" s="31"/>
      <c r="J62" s="31"/>
      <c r="K62" s="31"/>
      <c r="L62" s="16"/>
    </row>
    <row r="63" spans="2:15" ht="32" x14ac:dyDescent="0.45">
      <c r="B63" s="631" t="s">
        <v>275</v>
      </c>
      <c r="C63" s="631" t="s">
        <v>33</v>
      </c>
      <c r="D63" s="631" t="s">
        <v>34</v>
      </c>
      <c r="E63" s="631" t="s">
        <v>35</v>
      </c>
      <c r="F63" s="631" t="s">
        <v>36</v>
      </c>
      <c r="G63" s="631" t="s">
        <v>37</v>
      </c>
      <c r="H63" s="631" t="s">
        <v>57</v>
      </c>
      <c r="I63" s="631" t="s">
        <v>39</v>
      </c>
      <c r="J63" s="16"/>
      <c r="K63" s="16"/>
      <c r="L63" s="16"/>
      <c r="M63" s="16"/>
    </row>
    <row r="64" spans="2:15" ht="17.5" x14ac:dyDescent="0.45">
      <c r="B64" s="33" t="s">
        <v>368</v>
      </c>
      <c r="C64" s="529">
        <v>0.29499999999999998</v>
      </c>
      <c r="D64" s="499"/>
      <c r="E64" s="499"/>
      <c r="F64" s="529">
        <v>0.313</v>
      </c>
      <c r="G64" s="530">
        <v>0.311</v>
      </c>
      <c r="H64" s="530">
        <v>0.31900000000000001</v>
      </c>
      <c r="I64" s="530">
        <v>0.32200000000000001</v>
      </c>
      <c r="J64" s="31"/>
      <c r="K64" s="512" t="s">
        <v>397</v>
      </c>
      <c r="L64" s="16"/>
      <c r="M64" s="16"/>
      <c r="N64" s="1"/>
      <c r="O64" s="1"/>
    </row>
    <row r="65" spans="2:15" ht="17.5" x14ac:dyDescent="0.45">
      <c r="B65" s="33" t="s">
        <v>369</v>
      </c>
      <c r="C65" s="529"/>
      <c r="D65" s="499"/>
      <c r="E65" s="499"/>
      <c r="F65" s="529"/>
      <c r="G65" s="530"/>
      <c r="H65" s="530"/>
      <c r="I65" s="530"/>
      <c r="J65" s="206"/>
      <c r="K65" s="497"/>
      <c r="L65" s="16"/>
      <c r="M65" s="16"/>
      <c r="N65" s="1"/>
      <c r="O65" s="1"/>
    </row>
    <row r="66" spans="2:15" ht="17.5" x14ac:dyDescent="0.45">
      <c r="B66" s="33" t="s">
        <v>370</v>
      </c>
      <c r="C66" s="529">
        <v>0.157</v>
      </c>
      <c r="D66" s="499"/>
      <c r="E66" s="499"/>
      <c r="F66" s="529">
        <v>0.17899999999999999</v>
      </c>
      <c r="G66" s="530">
        <v>0.14499999999999999</v>
      </c>
      <c r="H66" s="530">
        <v>0.182</v>
      </c>
      <c r="I66" s="530">
        <v>0.16500000000000001</v>
      </c>
      <c r="J66" s="31"/>
      <c r="K66" s="31"/>
      <c r="L66" s="16"/>
      <c r="M66" s="16"/>
      <c r="N66" s="1"/>
      <c r="O66" s="1"/>
    </row>
    <row r="67" spans="2:15" ht="32" x14ac:dyDescent="0.45">
      <c r="B67" s="33" t="s">
        <v>371</v>
      </c>
      <c r="C67" s="529">
        <v>0.13200000000000001</v>
      </c>
      <c r="D67" s="499"/>
      <c r="E67" s="499"/>
      <c r="F67" s="529">
        <v>0.13500000000000001</v>
      </c>
      <c r="G67" s="530">
        <v>0.124</v>
      </c>
      <c r="H67" s="530">
        <v>0.13400000000000001</v>
      </c>
      <c r="I67" s="530">
        <v>0.13900000000000001</v>
      </c>
      <c r="J67" s="31"/>
      <c r="K67" s="31"/>
      <c r="L67" s="16"/>
      <c r="M67" s="16"/>
      <c r="N67" s="1"/>
      <c r="O67" s="1"/>
    </row>
    <row r="68" spans="2:15" ht="17.5" x14ac:dyDescent="0.45">
      <c r="B68" s="33" t="s">
        <v>372</v>
      </c>
      <c r="C68" s="529">
        <v>6.9000000000000006E-2</v>
      </c>
      <c r="D68" s="499"/>
      <c r="E68" s="499"/>
      <c r="F68" s="529">
        <v>0.28399999999999997</v>
      </c>
      <c r="G68" s="530">
        <v>0.48</v>
      </c>
      <c r="H68" s="530">
        <v>0.498</v>
      </c>
      <c r="I68" s="530">
        <v>0.51900000000000002</v>
      </c>
      <c r="J68" s="31"/>
      <c r="K68" s="31"/>
      <c r="L68" s="16"/>
      <c r="M68" s="16"/>
      <c r="N68" s="1"/>
      <c r="O68" s="1"/>
    </row>
    <row r="69" spans="2:15" ht="17.5" x14ac:dyDescent="0.45">
      <c r="B69" s="33" t="s">
        <v>373</v>
      </c>
      <c r="C69" s="529">
        <v>0.28999999999999998</v>
      </c>
      <c r="D69" s="499"/>
      <c r="E69" s="499"/>
      <c r="F69" s="529">
        <v>0.30299999999999999</v>
      </c>
      <c r="G69" s="530">
        <v>0.308</v>
      </c>
      <c r="H69" s="530">
        <v>0.29599999999999999</v>
      </c>
      <c r="I69" s="530">
        <v>0.29499999999999998</v>
      </c>
      <c r="J69" s="31"/>
      <c r="K69" s="31"/>
      <c r="L69" s="16"/>
      <c r="M69" s="16"/>
      <c r="N69" s="1"/>
      <c r="O69" s="1"/>
    </row>
    <row r="70" spans="2:15" ht="17.5" x14ac:dyDescent="0.45">
      <c r="B70" s="35"/>
      <c r="C70" s="498"/>
      <c r="D70" s="498"/>
      <c r="E70" s="498"/>
      <c r="F70" s="498"/>
      <c r="G70" s="498"/>
      <c r="H70" s="498"/>
      <c r="I70" s="498"/>
      <c r="J70" s="31"/>
      <c r="K70" s="31"/>
      <c r="L70" s="16"/>
      <c r="M70" s="16"/>
      <c r="N70" s="1"/>
      <c r="O70" s="1"/>
    </row>
    <row r="71" spans="2:15" ht="17.5" x14ac:dyDescent="0.45">
      <c r="B71" s="160"/>
      <c r="C71" s="30"/>
      <c r="D71" s="31"/>
      <c r="E71" s="31"/>
      <c r="F71" s="31"/>
      <c r="G71" s="31"/>
      <c r="H71" s="31"/>
      <c r="I71" s="31"/>
      <c r="J71" s="31"/>
    </row>
    <row r="72" spans="2:15" s="25" customFormat="1" ht="17.5" x14ac:dyDescent="0.45">
      <c r="B72" s="32" t="s">
        <v>237</v>
      </c>
      <c r="C72" s="32"/>
      <c r="D72" s="27"/>
      <c r="E72" s="27"/>
      <c r="F72" s="27"/>
      <c r="G72" s="27"/>
      <c r="H72" s="27"/>
      <c r="I72" s="27"/>
      <c r="J72" s="27"/>
      <c r="K72" s="27"/>
      <c r="L72" s="40"/>
    </row>
    <row r="73" spans="2:15" ht="6" customHeight="1" thickBot="1" x14ac:dyDescent="0.5">
      <c r="B73" s="30"/>
      <c r="C73" s="30"/>
      <c r="D73" s="31"/>
      <c r="E73" s="16"/>
      <c r="F73" s="31"/>
      <c r="G73" s="31"/>
      <c r="H73" s="31"/>
      <c r="I73" s="31"/>
      <c r="J73" s="31"/>
      <c r="K73" s="31"/>
      <c r="L73" s="16"/>
    </row>
    <row r="74" spans="2:15" ht="18" thickBot="1" x14ac:dyDescent="0.5">
      <c r="B74" s="667" t="s">
        <v>46</v>
      </c>
      <c r="C74" s="667" t="s">
        <v>68</v>
      </c>
      <c r="D74" s="669" t="s">
        <v>260</v>
      </c>
      <c r="E74" s="669"/>
      <c r="F74" s="669" t="s">
        <v>293</v>
      </c>
      <c r="G74" s="669"/>
      <c r="H74" s="670" t="s">
        <v>375</v>
      </c>
      <c r="I74" s="671"/>
      <c r="J74" s="31"/>
      <c r="K74" s="31"/>
      <c r="L74" s="16"/>
    </row>
    <row r="75" spans="2:15" ht="18" thickBot="1" x14ac:dyDescent="0.5">
      <c r="B75" s="668"/>
      <c r="C75" s="682"/>
      <c r="D75" s="633" t="s">
        <v>296</v>
      </c>
      <c r="E75" s="633" t="s">
        <v>297</v>
      </c>
      <c r="F75" s="633" t="s">
        <v>296</v>
      </c>
      <c r="G75" s="633" t="s">
        <v>297</v>
      </c>
      <c r="H75" s="633" t="s">
        <v>296</v>
      </c>
      <c r="I75" s="633" t="s">
        <v>297</v>
      </c>
      <c r="J75" s="64"/>
      <c r="K75" s="31"/>
      <c r="L75" s="16"/>
    </row>
    <row r="76" spans="2:15" ht="17.5" x14ac:dyDescent="0.45">
      <c r="B76" s="423" t="s">
        <v>157</v>
      </c>
      <c r="C76" s="425" t="s">
        <v>368</v>
      </c>
      <c r="D76" s="639">
        <v>15.811999999999999</v>
      </c>
      <c r="E76" s="639">
        <v>59.22</v>
      </c>
      <c r="F76" s="639">
        <v>3.3879999999999999</v>
      </c>
      <c r="G76" s="639">
        <v>7.3</v>
      </c>
      <c r="H76" s="639">
        <v>12.425000000000001</v>
      </c>
      <c r="I76" s="640">
        <v>51.86</v>
      </c>
      <c r="J76" s="16"/>
      <c r="K76" s="16"/>
      <c r="L76" s="16"/>
    </row>
    <row r="77" spans="2:15" ht="17.5" x14ac:dyDescent="0.45">
      <c r="B77" s="424" t="s">
        <v>158</v>
      </c>
      <c r="C77" s="219" t="s">
        <v>369</v>
      </c>
      <c r="D77" s="578">
        <v>0.55000000000000004</v>
      </c>
      <c r="E77" s="578">
        <v>0.09</v>
      </c>
      <c r="F77" s="578">
        <v>5.5E-2</v>
      </c>
      <c r="G77" s="578">
        <v>0.09</v>
      </c>
      <c r="H77" s="578">
        <v>0</v>
      </c>
      <c r="I77" s="641">
        <v>0</v>
      </c>
      <c r="J77" s="31"/>
      <c r="K77" s="500" t="s">
        <v>376</v>
      </c>
      <c r="L77" s="16"/>
    </row>
    <row r="78" spans="2:15" ht="17.5" x14ac:dyDescent="0.45">
      <c r="B78" s="424"/>
      <c r="C78" s="219" t="s">
        <v>370</v>
      </c>
      <c r="D78" s="578">
        <v>4.4139999999999997</v>
      </c>
      <c r="E78" s="578">
        <v>103.75</v>
      </c>
      <c r="F78" s="578">
        <v>4.4139999999999997</v>
      </c>
      <c r="G78" s="578">
        <v>72.95</v>
      </c>
      <c r="H78" s="578">
        <v>19</v>
      </c>
      <c r="I78" s="641">
        <v>30.8</v>
      </c>
      <c r="J78" s="31"/>
      <c r="K78" s="16"/>
      <c r="L78" s="16"/>
    </row>
    <row r="79" spans="2:15" ht="32" x14ac:dyDescent="0.45">
      <c r="B79" s="424"/>
      <c r="C79" s="219" t="s">
        <v>371</v>
      </c>
      <c r="D79" s="578">
        <v>7.9889999999999999</v>
      </c>
      <c r="E79" s="578">
        <v>85.67</v>
      </c>
      <c r="F79" s="578">
        <v>7.3929999999999998</v>
      </c>
      <c r="G79" s="578">
        <v>34.020000000000003</v>
      </c>
      <c r="H79" s="578">
        <v>0.59499999999999997</v>
      </c>
      <c r="I79" s="641">
        <v>51.65</v>
      </c>
      <c r="J79" s="31"/>
      <c r="K79" s="16"/>
      <c r="L79" s="16"/>
    </row>
    <row r="80" spans="2:15" ht="17.5" x14ac:dyDescent="0.45">
      <c r="B80" s="424"/>
      <c r="C80" s="219" t="s">
        <v>372</v>
      </c>
      <c r="D80" s="578">
        <v>2.1850000000000001</v>
      </c>
      <c r="E80" s="578">
        <v>77.069999999999993</v>
      </c>
      <c r="F80" s="578">
        <v>3.762</v>
      </c>
      <c r="G80" s="578">
        <v>18.47</v>
      </c>
      <c r="H80" s="578">
        <v>-1.577</v>
      </c>
      <c r="I80" s="641">
        <v>58.59</v>
      </c>
      <c r="J80" s="31"/>
      <c r="K80" s="16"/>
      <c r="L80" s="16"/>
    </row>
    <row r="81" spans="2:12" ht="17.5" x14ac:dyDescent="0.45">
      <c r="B81" s="424"/>
      <c r="C81" s="193" t="s">
        <v>373</v>
      </c>
      <c r="D81" s="642">
        <v>9.0150000000000006</v>
      </c>
      <c r="E81" s="642">
        <v>25.42</v>
      </c>
      <c r="F81" s="642">
        <v>2.9929999999999999</v>
      </c>
      <c r="G81" s="642">
        <v>4.42</v>
      </c>
      <c r="H81" s="642">
        <v>6.0220000000000002</v>
      </c>
      <c r="I81" s="643">
        <v>21.01</v>
      </c>
      <c r="J81" s="31"/>
      <c r="K81" s="16"/>
      <c r="L81" s="16"/>
    </row>
    <row r="82" spans="2:12" ht="17.5" x14ac:dyDescent="0.45">
      <c r="B82" s="423" t="s">
        <v>157</v>
      </c>
      <c r="C82" s="425" t="s">
        <v>368</v>
      </c>
      <c r="D82" s="639">
        <v>15.811999999999999</v>
      </c>
      <c r="E82" s="639">
        <v>59.22</v>
      </c>
      <c r="F82" s="639">
        <v>3.3879999999999999</v>
      </c>
      <c r="G82" s="639">
        <v>7.3</v>
      </c>
      <c r="H82" s="639">
        <v>12.425000000000001</v>
      </c>
      <c r="I82" s="640">
        <v>51.86</v>
      </c>
      <c r="J82" s="16"/>
      <c r="K82" s="16"/>
      <c r="L82" s="16"/>
    </row>
    <row r="83" spans="2:12" ht="17.5" x14ac:dyDescent="0.45">
      <c r="B83" s="424" t="s">
        <v>160</v>
      </c>
      <c r="C83" s="219" t="s">
        <v>369</v>
      </c>
      <c r="D83" s="578">
        <v>0.55000000000000004</v>
      </c>
      <c r="E83" s="578">
        <v>0.09</v>
      </c>
      <c r="F83" s="578">
        <v>5.5E-2</v>
      </c>
      <c r="G83" s="578">
        <v>0.09</v>
      </c>
      <c r="H83" s="578">
        <v>0</v>
      </c>
      <c r="I83" s="641">
        <v>0</v>
      </c>
      <c r="J83" s="31"/>
      <c r="K83" s="16"/>
      <c r="L83" s="16"/>
    </row>
    <row r="84" spans="2:12" ht="17.5" x14ac:dyDescent="0.45">
      <c r="B84" s="424"/>
      <c r="C84" s="219" t="s">
        <v>370</v>
      </c>
      <c r="D84" s="578">
        <v>4.4139999999999997</v>
      </c>
      <c r="E84" s="578">
        <v>103.75</v>
      </c>
      <c r="F84" s="578">
        <v>4.4139999999999997</v>
      </c>
      <c r="G84" s="578">
        <v>72.95</v>
      </c>
      <c r="H84" s="578">
        <v>19</v>
      </c>
      <c r="I84" s="641">
        <v>30.8</v>
      </c>
      <c r="J84" s="31"/>
      <c r="K84" s="16"/>
      <c r="L84" s="16"/>
    </row>
    <row r="85" spans="2:12" ht="32" x14ac:dyDescent="0.45">
      <c r="B85" s="424"/>
      <c r="C85" s="219" t="s">
        <v>371</v>
      </c>
      <c r="D85" s="578">
        <v>7.9889999999999999</v>
      </c>
      <c r="E85" s="578">
        <v>85.67</v>
      </c>
      <c r="F85" s="578">
        <v>7.3929999999999998</v>
      </c>
      <c r="G85" s="578">
        <v>34.020000000000003</v>
      </c>
      <c r="H85" s="578">
        <v>0.59499999999999997</v>
      </c>
      <c r="I85" s="641">
        <v>51.65</v>
      </c>
      <c r="J85" s="31"/>
      <c r="K85" s="16"/>
      <c r="L85" s="16"/>
    </row>
    <row r="86" spans="2:12" ht="17.5" x14ac:dyDescent="0.45">
      <c r="B86" s="424"/>
      <c r="C86" s="219" t="s">
        <v>372</v>
      </c>
      <c r="D86" s="578">
        <v>2.1850000000000001</v>
      </c>
      <c r="E86" s="578">
        <v>77.069999999999993</v>
      </c>
      <c r="F86" s="578">
        <v>3.762</v>
      </c>
      <c r="G86" s="578">
        <v>18.47</v>
      </c>
      <c r="H86" s="578">
        <v>-1.577</v>
      </c>
      <c r="I86" s="641">
        <v>58.59</v>
      </c>
      <c r="J86" s="31"/>
      <c r="K86" s="16"/>
      <c r="L86" s="16"/>
    </row>
    <row r="87" spans="2:12" ht="18" thickBot="1" x14ac:dyDescent="0.5">
      <c r="B87" s="424"/>
      <c r="C87" s="193" t="s">
        <v>373</v>
      </c>
      <c r="D87" s="642">
        <v>9.0150000000000006</v>
      </c>
      <c r="E87" s="642">
        <v>25.42</v>
      </c>
      <c r="F87" s="642">
        <v>2.9929999999999999</v>
      </c>
      <c r="G87" s="642">
        <v>4.42</v>
      </c>
      <c r="H87" s="642">
        <v>6.0220000000000002</v>
      </c>
      <c r="I87" s="643">
        <v>21.01</v>
      </c>
      <c r="J87" s="31"/>
      <c r="K87" s="16"/>
      <c r="L87" s="16"/>
    </row>
    <row r="88" spans="2:12" ht="17.5" x14ac:dyDescent="0.45">
      <c r="B88" s="423" t="s">
        <v>35</v>
      </c>
      <c r="C88" s="425" t="s">
        <v>368</v>
      </c>
      <c r="D88" s="578">
        <v>17.396999999999998</v>
      </c>
      <c r="E88" s="578">
        <v>71.819999999999993</v>
      </c>
      <c r="F88" s="578">
        <v>4.2590000000000003</v>
      </c>
      <c r="G88" s="578">
        <v>17.32</v>
      </c>
      <c r="H88" s="578">
        <v>13.138</v>
      </c>
      <c r="I88" s="641">
        <v>54.5</v>
      </c>
      <c r="J88" s="31"/>
      <c r="K88" s="16"/>
      <c r="L88" s="16"/>
    </row>
    <row r="89" spans="2:12" ht="17.5" x14ac:dyDescent="0.45">
      <c r="B89" s="424"/>
      <c r="C89" s="219" t="s">
        <v>369</v>
      </c>
      <c r="D89" s="578">
        <v>5.2999999999999999E-2</v>
      </c>
      <c r="E89" s="578">
        <v>0.08</v>
      </c>
      <c r="F89" s="578">
        <v>5.2999999999999999E-2</v>
      </c>
      <c r="G89" s="578">
        <v>0.08</v>
      </c>
      <c r="H89" s="578">
        <v>0</v>
      </c>
      <c r="I89" s="641">
        <v>0</v>
      </c>
      <c r="J89" s="31"/>
      <c r="K89" s="500" t="s">
        <v>376</v>
      </c>
      <c r="L89" s="16"/>
    </row>
    <row r="90" spans="2:12" ht="17.5" x14ac:dyDescent="0.45">
      <c r="B90" s="424"/>
      <c r="C90" s="219" t="s">
        <v>370</v>
      </c>
      <c r="D90" s="578">
        <v>5.266</v>
      </c>
      <c r="E90" s="578">
        <v>102.81</v>
      </c>
      <c r="F90" s="578">
        <v>4.1369999999999996</v>
      </c>
      <c r="G90" s="578">
        <v>70.78</v>
      </c>
      <c r="H90" s="578">
        <v>1.129</v>
      </c>
      <c r="I90" s="641">
        <v>32.020000000000003</v>
      </c>
      <c r="J90" s="31"/>
      <c r="K90" s="16"/>
      <c r="L90" s="16"/>
    </row>
    <row r="91" spans="2:12" ht="32" x14ac:dyDescent="0.45">
      <c r="B91" s="424"/>
      <c r="C91" s="219" t="s">
        <v>371</v>
      </c>
      <c r="D91" s="578">
        <v>10.25</v>
      </c>
      <c r="E91" s="578">
        <v>123.73</v>
      </c>
      <c r="F91" s="578">
        <v>9.3339999999999996</v>
      </c>
      <c r="G91" s="578">
        <v>59.94</v>
      </c>
      <c r="H91" s="578">
        <v>0.91600000000000004</v>
      </c>
      <c r="I91" s="641">
        <v>63.79</v>
      </c>
      <c r="J91" s="31"/>
      <c r="K91" s="16"/>
      <c r="L91" s="16"/>
    </row>
    <row r="92" spans="2:12" ht="17.5" x14ac:dyDescent="0.45">
      <c r="B92" s="424"/>
      <c r="C92" s="219" t="s">
        <v>372</v>
      </c>
      <c r="D92" s="578">
        <v>32.643999999999998</v>
      </c>
      <c r="E92" s="578">
        <v>137.21</v>
      </c>
      <c r="F92" s="578">
        <v>21.635000000000002</v>
      </c>
      <c r="G92" s="578">
        <v>50.5</v>
      </c>
      <c r="H92" s="578">
        <v>11.009</v>
      </c>
      <c r="I92" s="641">
        <v>86.71</v>
      </c>
      <c r="J92" s="31"/>
      <c r="K92" s="16"/>
      <c r="L92" s="16"/>
    </row>
    <row r="93" spans="2:12" ht="18" thickBot="1" x14ac:dyDescent="0.5">
      <c r="B93" s="424"/>
      <c r="C93" s="193" t="s">
        <v>373</v>
      </c>
      <c r="D93" s="642">
        <v>8.7989999999999995</v>
      </c>
      <c r="E93" s="642">
        <v>25.95</v>
      </c>
      <c r="F93" s="642">
        <v>2.488</v>
      </c>
      <c r="G93" s="642">
        <v>3.44</v>
      </c>
      <c r="H93" s="642">
        <v>6.3109999999999999</v>
      </c>
      <c r="I93" s="643">
        <v>22.51</v>
      </c>
      <c r="J93" s="31"/>
      <c r="K93" s="16"/>
      <c r="L93" s="16"/>
    </row>
    <row r="94" spans="2:12" ht="17.5" x14ac:dyDescent="0.45">
      <c r="B94" s="423" t="s">
        <v>36</v>
      </c>
      <c r="C94" s="425" t="s">
        <v>368</v>
      </c>
      <c r="D94" s="578">
        <v>17.396999999999998</v>
      </c>
      <c r="E94" s="578">
        <v>71.819999999999993</v>
      </c>
      <c r="F94" s="578">
        <v>4.2590000000000003</v>
      </c>
      <c r="G94" s="578">
        <v>17.32</v>
      </c>
      <c r="H94" s="578">
        <v>13.138</v>
      </c>
      <c r="I94" s="641">
        <v>54.5</v>
      </c>
      <c r="J94" s="16"/>
      <c r="K94" s="16"/>
      <c r="L94" s="16"/>
    </row>
    <row r="95" spans="2:12" ht="17.5" x14ac:dyDescent="0.45">
      <c r="B95" s="424"/>
      <c r="C95" s="219" t="s">
        <v>369</v>
      </c>
      <c r="D95" s="578">
        <v>5.2999999999999999E-2</v>
      </c>
      <c r="E95" s="578">
        <v>0.08</v>
      </c>
      <c r="F95" s="578">
        <v>5.2999999999999999E-2</v>
      </c>
      <c r="G95" s="578">
        <v>0.08</v>
      </c>
      <c r="H95" s="578">
        <v>0</v>
      </c>
      <c r="I95" s="641">
        <v>0</v>
      </c>
      <c r="J95" s="31"/>
      <c r="K95" s="16"/>
      <c r="L95" s="16"/>
    </row>
    <row r="96" spans="2:12" ht="17.5" x14ac:dyDescent="0.45">
      <c r="B96" s="424"/>
      <c r="C96" s="219" t="s">
        <v>370</v>
      </c>
      <c r="D96" s="578">
        <v>5.266</v>
      </c>
      <c r="E96" s="578">
        <v>102.81</v>
      </c>
      <c r="F96" s="578">
        <v>4.1369999999999996</v>
      </c>
      <c r="G96" s="578">
        <v>70.78</v>
      </c>
      <c r="H96" s="578">
        <v>1.129</v>
      </c>
      <c r="I96" s="641">
        <v>32.020000000000003</v>
      </c>
      <c r="J96" s="31"/>
      <c r="K96" s="16"/>
      <c r="L96" s="16"/>
    </row>
    <row r="97" spans="2:12" ht="32" x14ac:dyDescent="0.45">
      <c r="B97" s="424"/>
      <c r="C97" s="219" t="s">
        <v>371</v>
      </c>
      <c r="D97" s="578">
        <v>10.25</v>
      </c>
      <c r="E97" s="578">
        <v>123.73</v>
      </c>
      <c r="F97" s="578">
        <v>9.3339999999999996</v>
      </c>
      <c r="G97" s="578">
        <v>59.94</v>
      </c>
      <c r="H97" s="578">
        <v>0.91600000000000004</v>
      </c>
      <c r="I97" s="641">
        <v>63.79</v>
      </c>
      <c r="J97" s="31"/>
      <c r="K97" s="16"/>
      <c r="L97" s="16"/>
    </row>
    <row r="98" spans="2:12" ht="17.5" x14ac:dyDescent="0.45">
      <c r="B98" s="424"/>
      <c r="C98" s="219" t="s">
        <v>372</v>
      </c>
      <c r="D98" s="578">
        <v>32.643999999999998</v>
      </c>
      <c r="E98" s="578">
        <v>137.21</v>
      </c>
      <c r="F98" s="578">
        <v>21.635000000000002</v>
      </c>
      <c r="G98" s="578">
        <v>50.5</v>
      </c>
      <c r="H98" s="578">
        <v>11.009</v>
      </c>
      <c r="I98" s="641">
        <v>86.71</v>
      </c>
      <c r="J98" s="31"/>
      <c r="K98" s="16"/>
      <c r="L98" s="16"/>
    </row>
    <row r="99" spans="2:12" ht="18" thickBot="1" x14ac:dyDescent="0.5">
      <c r="B99" s="424"/>
      <c r="C99" s="193" t="s">
        <v>373</v>
      </c>
      <c r="D99" s="578">
        <v>8.7989999999999995</v>
      </c>
      <c r="E99" s="578">
        <v>25.95</v>
      </c>
      <c r="F99" s="578">
        <v>2.488</v>
      </c>
      <c r="G99" s="578">
        <v>3.44</v>
      </c>
      <c r="H99" s="578">
        <v>6.3109999999999999</v>
      </c>
      <c r="I99" s="641">
        <v>22.51</v>
      </c>
      <c r="J99" s="31"/>
      <c r="K99" s="16"/>
      <c r="L99" s="16"/>
    </row>
    <row r="100" spans="2:12" ht="17.5" x14ac:dyDescent="0.45">
      <c r="B100" s="423" t="s">
        <v>37</v>
      </c>
      <c r="C100" s="425" t="s">
        <v>368</v>
      </c>
      <c r="D100" s="426"/>
      <c r="E100" s="426"/>
      <c r="F100" s="426"/>
      <c r="G100" s="426"/>
      <c r="H100" s="426"/>
      <c r="I100" s="427"/>
      <c r="J100" s="16"/>
      <c r="K100" s="16"/>
      <c r="L100" s="16"/>
    </row>
    <row r="101" spans="2:12" ht="17.5" x14ac:dyDescent="0.45">
      <c r="B101" s="424"/>
      <c r="C101" s="219" t="s">
        <v>369</v>
      </c>
      <c r="D101" s="212"/>
      <c r="E101" s="212"/>
      <c r="F101" s="212"/>
      <c r="G101" s="212"/>
      <c r="H101" s="212"/>
      <c r="I101" s="428"/>
      <c r="J101" s="31"/>
      <c r="K101" s="16"/>
      <c r="L101" s="16"/>
    </row>
    <row r="102" spans="2:12" ht="17.5" x14ac:dyDescent="0.45">
      <c r="B102" s="424"/>
      <c r="C102" s="219" t="s">
        <v>370</v>
      </c>
      <c r="D102" s="212"/>
      <c r="E102" s="212"/>
      <c r="F102" s="212"/>
      <c r="G102" s="212"/>
      <c r="H102" s="212"/>
      <c r="I102" s="428"/>
      <c r="J102" s="31"/>
      <c r="K102" s="16"/>
      <c r="L102" s="16"/>
    </row>
    <row r="103" spans="2:12" ht="32" x14ac:dyDescent="0.45">
      <c r="B103" s="424"/>
      <c r="C103" s="219" t="s">
        <v>371</v>
      </c>
      <c r="D103" s="212"/>
      <c r="E103" s="212"/>
      <c r="F103" s="212"/>
      <c r="G103" s="212"/>
      <c r="H103" s="212"/>
      <c r="I103" s="428"/>
      <c r="J103" s="31"/>
      <c r="K103" s="16"/>
      <c r="L103" s="16"/>
    </row>
    <row r="104" spans="2:12" ht="17.5" x14ac:dyDescent="0.45">
      <c r="B104" s="424"/>
      <c r="C104" s="219" t="s">
        <v>372</v>
      </c>
      <c r="D104" s="212"/>
      <c r="E104" s="212"/>
      <c r="F104" s="212"/>
      <c r="G104" s="212"/>
      <c r="H104" s="212"/>
      <c r="I104" s="428"/>
      <c r="J104" s="31"/>
      <c r="K104" s="16"/>
      <c r="L104" s="16"/>
    </row>
    <row r="105" spans="2:12" ht="18" thickBot="1" x14ac:dyDescent="0.5">
      <c r="B105" s="424"/>
      <c r="C105" s="193" t="s">
        <v>373</v>
      </c>
      <c r="D105" s="429"/>
      <c r="E105" s="429"/>
      <c r="F105" s="429"/>
      <c r="G105" s="429"/>
      <c r="H105" s="429"/>
      <c r="I105" s="430"/>
      <c r="J105" s="31"/>
      <c r="K105" s="16"/>
      <c r="L105" s="16"/>
    </row>
    <row r="106" spans="2:12" ht="17.5" x14ac:dyDescent="0.45">
      <c r="B106" s="44" t="s">
        <v>57</v>
      </c>
      <c r="C106" s="425" t="s">
        <v>368</v>
      </c>
      <c r="D106" s="426"/>
      <c r="E106" s="426"/>
      <c r="F106" s="426"/>
      <c r="G106" s="426"/>
      <c r="H106" s="426"/>
      <c r="I106" s="427"/>
      <c r="J106" s="65"/>
      <c r="K106" s="16"/>
      <c r="L106" s="16"/>
    </row>
    <row r="107" spans="2:12" ht="17.5" x14ac:dyDescent="0.45">
      <c r="B107" s="42"/>
      <c r="C107" s="219" t="s">
        <v>369</v>
      </c>
      <c r="D107" s="212"/>
      <c r="E107" s="212"/>
      <c r="F107" s="212"/>
      <c r="G107" s="212"/>
      <c r="H107" s="212"/>
      <c r="I107" s="428"/>
      <c r="J107" s="31"/>
      <c r="K107" s="16"/>
      <c r="L107" s="16"/>
    </row>
    <row r="108" spans="2:12" ht="17.5" x14ac:dyDescent="0.45">
      <c r="B108" s="42"/>
      <c r="C108" s="219" t="s">
        <v>370</v>
      </c>
      <c r="D108" s="212"/>
      <c r="E108" s="212"/>
      <c r="F108" s="212"/>
      <c r="G108" s="212"/>
      <c r="H108" s="212"/>
      <c r="I108" s="428"/>
      <c r="J108" s="31"/>
      <c r="K108" s="16"/>
      <c r="L108" s="16"/>
    </row>
    <row r="109" spans="2:12" ht="32" x14ac:dyDescent="0.45">
      <c r="B109" s="42"/>
      <c r="C109" s="219" t="s">
        <v>371</v>
      </c>
      <c r="D109" s="212"/>
      <c r="E109" s="212"/>
      <c r="F109" s="212"/>
      <c r="G109" s="212"/>
      <c r="H109" s="212"/>
      <c r="I109" s="428"/>
      <c r="J109" s="31"/>
      <c r="K109" s="16"/>
      <c r="L109" s="16"/>
    </row>
    <row r="110" spans="2:12" ht="17.5" x14ac:dyDescent="0.45">
      <c r="B110" s="42"/>
      <c r="C110" s="219" t="s">
        <v>372</v>
      </c>
      <c r="D110" s="212"/>
      <c r="E110" s="212"/>
      <c r="F110" s="212"/>
      <c r="G110" s="212"/>
      <c r="H110" s="212"/>
      <c r="I110" s="428"/>
      <c r="J110" s="31"/>
      <c r="K110" s="16"/>
      <c r="L110" s="16"/>
    </row>
    <row r="111" spans="2:12" ht="18" thickBot="1" x14ac:dyDescent="0.5">
      <c r="B111" s="42"/>
      <c r="C111" s="193" t="s">
        <v>373</v>
      </c>
      <c r="D111" s="429"/>
      <c r="E111" s="429"/>
      <c r="F111" s="429"/>
      <c r="G111" s="429"/>
      <c r="H111" s="429"/>
      <c r="I111" s="430"/>
      <c r="J111" s="31"/>
      <c r="K111" s="31"/>
      <c r="L111" s="16"/>
    </row>
    <row r="112" spans="2:12" ht="17.5" x14ac:dyDescent="0.45">
      <c r="B112" s="431" t="s">
        <v>39</v>
      </c>
      <c r="C112" s="425" t="s">
        <v>368</v>
      </c>
      <c r="D112" s="426"/>
      <c r="E112" s="426"/>
      <c r="F112" s="426"/>
      <c r="G112" s="426"/>
      <c r="H112" s="426"/>
      <c r="I112" s="427"/>
      <c r="J112" s="66"/>
      <c r="K112" s="31"/>
      <c r="L112" s="16"/>
    </row>
    <row r="113" spans="2:12" ht="17.5" x14ac:dyDescent="0.45">
      <c r="B113" s="432" t="s">
        <v>301</v>
      </c>
      <c r="C113" s="219" t="s">
        <v>369</v>
      </c>
      <c r="D113" s="212"/>
      <c r="E113" s="212"/>
      <c r="F113" s="212"/>
      <c r="G113" s="212"/>
      <c r="H113" s="212"/>
      <c r="I113" s="428"/>
      <c r="J113" s="31"/>
      <c r="K113" s="31"/>
      <c r="L113" s="16"/>
    </row>
    <row r="114" spans="2:12" ht="17.5" x14ac:dyDescent="0.45">
      <c r="B114" s="192"/>
      <c r="C114" s="219" t="s">
        <v>370</v>
      </c>
      <c r="D114" s="212"/>
      <c r="E114" s="212"/>
      <c r="F114" s="212"/>
      <c r="G114" s="212"/>
      <c r="H114" s="212"/>
      <c r="I114" s="428"/>
      <c r="J114" s="31"/>
      <c r="K114" s="31"/>
      <c r="L114" s="16"/>
    </row>
    <row r="115" spans="2:12" ht="32" x14ac:dyDescent="0.45">
      <c r="B115" s="192"/>
      <c r="C115" s="219" t="s">
        <v>371</v>
      </c>
      <c r="D115" s="212"/>
      <c r="E115" s="212"/>
      <c r="F115" s="212"/>
      <c r="G115" s="212"/>
      <c r="H115" s="212"/>
      <c r="I115" s="428"/>
      <c r="J115" s="31"/>
      <c r="K115" s="31"/>
      <c r="L115" s="16"/>
    </row>
    <row r="116" spans="2:12" ht="17.5" x14ac:dyDescent="0.45">
      <c r="B116" s="192"/>
      <c r="C116" s="219" t="s">
        <v>372</v>
      </c>
      <c r="D116" s="212"/>
      <c r="E116" s="212"/>
      <c r="F116" s="212"/>
      <c r="G116" s="212"/>
      <c r="H116" s="212"/>
      <c r="I116" s="428"/>
      <c r="J116" s="31"/>
      <c r="K116" s="31"/>
      <c r="L116" s="16"/>
    </row>
    <row r="117" spans="2:12" ht="18" thickBot="1" x14ac:dyDescent="0.5">
      <c r="B117" s="221"/>
      <c r="C117" s="193" t="s">
        <v>373</v>
      </c>
      <c r="D117" s="429"/>
      <c r="E117" s="429"/>
      <c r="F117" s="429"/>
      <c r="G117" s="429"/>
      <c r="H117" s="429"/>
      <c r="I117" s="430"/>
      <c r="J117" s="31"/>
      <c r="K117" s="31"/>
      <c r="L117" s="16"/>
    </row>
    <row r="118" spans="2:12" ht="17.5" x14ac:dyDescent="0.45">
      <c r="B118" s="431" t="s">
        <v>302</v>
      </c>
      <c r="C118" s="425" t="s">
        <v>368</v>
      </c>
      <c r="D118" s="426"/>
      <c r="E118" s="426"/>
      <c r="F118" s="426"/>
      <c r="G118" s="426"/>
      <c r="H118" s="426"/>
      <c r="I118" s="427"/>
      <c r="J118" s="31"/>
      <c r="K118" s="31"/>
      <c r="L118" s="16"/>
    </row>
    <row r="119" spans="2:12" ht="17.5" x14ac:dyDescent="0.45">
      <c r="B119" s="432" t="s">
        <v>303</v>
      </c>
      <c r="C119" s="219" t="s">
        <v>369</v>
      </c>
      <c r="D119" s="212"/>
      <c r="E119" s="212"/>
      <c r="F119" s="212"/>
      <c r="G119" s="212"/>
      <c r="H119" s="212"/>
      <c r="I119" s="428"/>
      <c r="J119" s="31"/>
      <c r="K119" s="31"/>
      <c r="L119" s="16"/>
    </row>
    <row r="120" spans="2:12" ht="17.5" x14ac:dyDescent="0.45">
      <c r="B120" s="192"/>
      <c r="C120" s="219" t="s">
        <v>370</v>
      </c>
      <c r="D120" s="212"/>
      <c r="E120" s="212"/>
      <c r="F120" s="212"/>
      <c r="G120" s="212"/>
      <c r="H120" s="212"/>
      <c r="I120" s="428"/>
      <c r="J120" s="31"/>
      <c r="K120" s="31"/>
      <c r="L120" s="16"/>
    </row>
    <row r="121" spans="2:12" ht="32" x14ac:dyDescent="0.45">
      <c r="B121" s="192"/>
      <c r="C121" s="219" t="s">
        <v>371</v>
      </c>
      <c r="D121" s="212"/>
      <c r="E121" s="212"/>
      <c r="F121" s="212"/>
      <c r="G121" s="212"/>
      <c r="H121" s="212"/>
      <c r="I121" s="428"/>
      <c r="J121" s="31"/>
      <c r="K121" s="31"/>
      <c r="L121" s="16"/>
    </row>
    <row r="122" spans="2:12" ht="17.5" x14ac:dyDescent="0.45">
      <c r="B122" s="192"/>
      <c r="C122" s="219" t="s">
        <v>372</v>
      </c>
      <c r="D122" s="212"/>
      <c r="E122" s="212"/>
      <c r="F122" s="212"/>
      <c r="G122" s="212"/>
      <c r="H122" s="212"/>
      <c r="I122" s="428"/>
      <c r="J122" s="31"/>
      <c r="K122" s="31"/>
      <c r="L122" s="16"/>
    </row>
    <row r="123" spans="2:12" ht="18" thickBot="1" x14ac:dyDescent="0.5">
      <c r="B123" s="221"/>
      <c r="C123" s="193" t="s">
        <v>373</v>
      </c>
      <c r="D123" s="429"/>
      <c r="E123" s="429"/>
      <c r="F123" s="429"/>
      <c r="G123" s="429"/>
      <c r="H123" s="429"/>
      <c r="I123" s="430"/>
      <c r="J123" s="31"/>
      <c r="K123" s="31"/>
      <c r="L123" s="16"/>
    </row>
    <row r="124" spans="2:12" ht="17.5" x14ac:dyDescent="0.45">
      <c r="B124" s="30"/>
      <c r="C124" s="30"/>
      <c r="D124" s="31"/>
      <c r="E124" s="31"/>
      <c r="F124" s="31"/>
      <c r="G124" s="31"/>
      <c r="H124" s="31"/>
      <c r="I124" s="31"/>
      <c r="J124" s="16"/>
      <c r="K124" s="31"/>
      <c r="L124" s="16"/>
    </row>
    <row r="125" spans="2:12" s="25" customFormat="1" ht="21" x14ac:dyDescent="0.45">
      <c r="B125" s="187" t="s">
        <v>322</v>
      </c>
      <c r="C125" s="187"/>
      <c r="D125" s="27"/>
      <c r="E125" s="27"/>
      <c r="F125" s="27"/>
      <c r="G125" s="27"/>
      <c r="H125" s="27"/>
      <c r="I125" s="27"/>
      <c r="J125" s="27"/>
      <c r="K125" s="27"/>
      <c r="L125" s="40"/>
    </row>
    <row r="126" spans="2:12" ht="6.65" customHeight="1" x14ac:dyDescent="0.45">
      <c r="B126" s="62"/>
      <c r="C126" s="62"/>
      <c r="D126" s="31"/>
      <c r="E126" s="31"/>
      <c r="F126" s="31"/>
      <c r="G126" s="31"/>
      <c r="H126" s="31"/>
      <c r="I126" s="31"/>
      <c r="J126" s="31"/>
      <c r="K126" s="31"/>
      <c r="L126" s="16"/>
    </row>
    <row r="127" spans="2:12" s="25" customFormat="1" ht="17.5" x14ac:dyDescent="0.45">
      <c r="B127" s="32" t="s">
        <v>245</v>
      </c>
      <c r="C127" s="32"/>
      <c r="D127" s="27"/>
      <c r="E127" s="27"/>
      <c r="F127" s="27"/>
      <c r="G127" s="27"/>
      <c r="H127" s="27"/>
      <c r="I127" s="27"/>
      <c r="J127" s="27"/>
      <c r="K127" s="27"/>
      <c r="L127" s="40"/>
    </row>
    <row r="128" spans="2:12" ht="6" customHeight="1" thickBot="1" x14ac:dyDescent="0.5">
      <c r="B128" s="30"/>
      <c r="C128" s="30"/>
      <c r="D128" s="31"/>
      <c r="E128" s="16"/>
      <c r="F128" s="31"/>
      <c r="G128" s="31"/>
      <c r="H128" s="31"/>
      <c r="I128" s="31"/>
      <c r="J128" s="31"/>
      <c r="K128" s="31"/>
      <c r="L128" s="16"/>
    </row>
    <row r="129" spans="2:12" ht="32" x14ac:dyDescent="0.45">
      <c r="B129" s="249" t="s">
        <v>46</v>
      </c>
      <c r="C129" s="249" t="s">
        <v>275</v>
      </c>
      <c r="D129" s="249" t="s">
        <v>323</v>
      </c>
      <c r="E129" s="249" t="s">
        <v>324</v>
      </c>
      <c r="F129" s="249" t="s">
        <v>377</v>
      </c>
      <c r="G129" s="249" t="s">
        <v>325</v>
      </c>
      <c r="H129" s="31"/>
      <c r="I129" s="31"/>
      <c r="J129" s="31"/>
      <c r="K129" s="31"/>
      <c r="L129" s="16"/>
    </row>
    <row r="130" spans="2:12" ht="17.5" x14ac:dyDescent="0.45">
      <c r="B130" s="433" t="s">
        <v>157</v>
      </c>
      <c r="C130" s="200" t="s">
        <v>368</v>
      </c>
      <c r="D130" s="384">
        <f>6146-40-8-27</f>
        <v>6071</v>
      </c>
      <c r="E130" s="384">
        <f>18895-322-42-8</f>
        <v>18523</v>
      </c>
      <c r="F130" s="384">
        <v>1</v>
      </c>
      <c r="G130" s="384">
        <v>21</v>
      </c>
      <c r="H130" s="31"/>
      <c r="I130" s="31"/>
      <c r="J130" s="31"/>
      <c r="K130" s="31"/>
      <c r="L130" s="16"/>
    </row>
    <row r="131" spans="2:12" ht="17.5" x14ac:dyDescent="0.45">
      <c r="B131" s="433" t="s">
        <v>158</v>
      </c>
      <c r="C131" s="200" t="s">
        <v>369</v>
      </c>
      <c r="D131" s="384">
        <v>0</v>
      </c>
      <c r="E131" s="384">
        <v>0</v>
      </c>
      <c r="F131" s="384">
        <v>0</v>
      </c>
      <c r="G131" s="384">
        <v>0</v>
      </c>
      <c r="H131" s="512" t="s">
        <v>398</v>
      </c>
      <c r="I131" s="31"/>
      <c r="J131" s="31"/>
      <c r="K131" s="31"/>
      <c r="L131" s="16"/>
    </row>
    <row r="132" spans="2:12" ht="17.5" x14ac:dyDescent="0.45">
      <c r="B132" s="433"/>
      <c r="C132" s="200" t="s">
        <v>370</v>
      </c>
      <c r="D132" s="384">
        <v>8853.6</v>
      </c>
      <c r="E132" s="384">
        <v>7921.7</v>
      </c>
      <c r="F132" s="384">
        <v>342</v>
      </c>
      <c r="G132" s="384">
        <v>0</v>
      </c>
      <c r="H132" s="31"/>
      <c r="I132" s="31"/>
      <c r="J132" s="31"/>
      <c r="K132" s="31"/>
      <c r="L132" s="16"/>
    </row>
    <row r="133" spans="2:12" ht="32" x14ac:dyDescent="0.45">
      <c r="B133" s="433"/>
      <c r="C133" s="200" t="s">
        <v>371</v>
      </c>
      <c r="D133" s="384">
        <v>1643.4</v>
      </c>
      <c r="E133" s="384">
        <v>24940.1</v>
      </c>
      <c r="F133" s="384">
        <v>1837</v>
      </c>
      <c r="G133" s="384">
        <v>10</v>
      </c>
      <c r="H133" s="31"/>
      <c r="I133" s="31"/>
      <c r="J133" s="31"/>
      <c r="K133" s="31"/>
      <c r="L133" s="16"/>
    </row>
    <row r="134" spans="2:12" ht="17.5" x14ac:dyDescent="0.45">
      <c r="B134" s="433"/>
      <c r="C134" s="200" t="s">
        <v>372</v>
      </c>
      <c r="D134" s="384"/>
      <c r="E134" s="384"/>
      <c r="F134" s="384"/>
      <c r="G134" s="384"/>
      <c r="H134" s="31"/>
      <c r="I134" s="31"/>
      <c r="J134" s="31"/>
      <c r="K134" s="31"/>
      <c r="L134" s="16"/>
    </row>
    <row r="135" spans="2:12" ht="18" thickBot="1" x14ac:dyDescent="0.5">
      <c r="B135" s="362"/>
      <c r="C135" s="362" t="s">
        <v>373</v>
      </c>
      <c r="D135" s="385"/>
      <c r="E135" s="385"/>
      <c r="F135" s="385"/>
      <c r="G135" s="385"/>
      <c r="H135" s="31"/>
      <c r="I135" s="31"/>
      <c r="J135" s="31"/>
      <c r="K135" s="31"/>
      <c r="L135" s="16"/>
    </row>
    <row r="136" spans="2:12" ht="17.5" x14ac:dyDescent="0.45">
      <c r="B136" s="433" t="s">
        <v>157</v>
      </c>
      <c r="C136" s="200" t="s">
        <v>368</v>
      </c>
      <c r="D136" s="384"/>
      <c r="E136" s="384"/>
      <c r="F136" s="384"/>
      <c r="G136" s="384"/>
      <c r="H136" s="31"/>
      <c r="I136" s="31"/>
      <c r="J136" s="31"/>
      <c r="K136" s="31"/>
      <c r="L136" s="16"/>
    </row>
    <row r="137" spans="2:12" ht="17.5" x14ac:dyDescent="0.45">
      <c r="B137" s="433" t="s">
        <v>160</v>
      </c>
      <c r="C137" s="200" t="s">
        <v>369</v>
      </c>
      <c r="D137" s="384"/>
      <c r="E137" s="384"/>
      <c r="F137" s="384"/>
      <c r="G137" s="384"/>
      <c r="H137" s="31"/>
      <c r="I137" s="31"/>
      <c r="J137" s="31"/>
      <c r="K137" s="31"/>
      <c r="L137" s="16"/>
    </row>
    <row r="138" spans="2:12" ht="17.5" x14ac:dyDescent="0.45">
      <c r="B138" s="433"/>
      <c r="C138" s="200" t="s">
        <v>370</v>
      </c>
      <c r="D138" s="384"/>
      <c r="E138" s="384"/>
      <c r="F138" s="384"/>
      <c r="G138" s="384"/>
      <c r="H138" s="31"/>
      <c r="I138" s="31"/>
      <c r="J138" s="31"/>
      <c r="K138" s="31"/>
      <c r="L138" s="16"/>
    </row>
    <row r="139" spans="2:12" ht="32" x14ac:dyDescent="0.45">
      <c r="B139" s="433"/>
      <c r="C139" s="200" t="s">
        <v>371</v>
      </c>
      <c r="D139" s="384"/>
      <c r="E139" s="384"/>
      <c r="F139" s="384"/>
      <c r="G139" s="384"/>
      <c r="H139" s="31"/>
      <c r="I139" s="31"/>
      <c r="J139" s="31"/>
      <c r="K139" s="31"/>
      <c r="L139" s="16"/>
    </row>
    <row r="140" spans="2:12" ht="17.5" x14ac:dyDescent="0.45">
      <c r="B140" s="433"/>
      <c r="C140" s="200" t="s">
        <v>372</v>
      </c>
      <c r="D140" s="384"/>
      <c r="E140" s="384"/>
      <c r="F140" s="384"/>
      <c r="G140" s="384"/>
      <c r="H140" s="31"/>
      <c r="I140" s="31"/>
      <c r="J140" s="31"/>
      <c r="K140" s="31"/>
      <c r="L140" s="16"/>
    </row>
    <row r="141" spans="2:12" ht="18" thickBot="1" x14ac:dyDescent="0.5">
      <c r="B141" s="362"/>
      <c r="C141" s="362" t="s">
        <v>373</v>
      </c>
      <c r="D141" s="385"/>
      <c r="E141" s="385"/>
      <c r="F141" s="385"/>
      <c r="G141" s="385"/>
      <c r="H141" s="31"/>
      <c r="I141" s="31"/>
      <c r="J141" s="31"/>
      <c r="K141" s="31"/>
      <c r="L141" s="16"/>
    </row>
    <row r="142" spans="2:12" ht="17.5" x14ac:dyDescent="0.45">
      <c r="B142" s="548" t="s">
        <v>35</v>
      </c>
      <c r="C142" s="547" t="s">
        <v>368</v>
      </c>
      <c r="D142" s="599"/>
      <c r="E142" s="599"/>
      <c r="F142" s="599"/>
      <c r="G142" s="599"/>
      <c r="H142" s="31"/>
      <c r="I142" s="31"/>
      <c r="J142" s="31"/>
      <c r="K142" s="31"/>
      <c r="L142" s="16"/>
    </row>
    <row r="143" spans="2:12" ht="17.5" x14ac:dyDescent="0.45">
      <c r="B143" s="433"/>
      <c r="C143" s="200" t="s">
        <v>369</v>
      </c>
      <c r="D143" s="384"/>
      <c r="E143" s="384"/>
      <c r="F143" s="384"/>
      <c r="G143" s="384"/>
      <c r="H143" s="31"/>
      <c r="I143" s="31"/>
      <c r="J143" s="31"/>
      <c r="K143" s="31"/>
      <c r="L143" s="16"/>
    </row>
    <row r="144" spans="2:12" ht="17.5" x14ac:dyDescent="0.45">
      <c r="B144" s="433"/>
      <c r="C144" s="200" t="s">
        <v>370</v>
      </c>
      <c r="D144" s="384"/>
      <c r="E144" s="384"/>
      <c r="F144" s="384"/>
      <c r="G144" s="384"/>
      <c r="H144" s="31"/>
      <c r="I144" s="31"/>
      <c r="J144" s="31"/>
      <c r="K144" s="31"/>
      <c r="L144" s="16"/>
    </row>
    <row r="145" spans="2:12" ht="32" x14ac:dyDescent="0.45">
      <c r="B145" s="433"/>
      <c r="C145" s="200" t="s">
        <v>371</v>
      </c>
      <c r="D145" s="384">
        <v>1771.8</v>
      </c>
      <c r="E145" s="384">
        <v>23817.4</v>
      </c>
      <c r="F145" s="384">
        <v>1604</v>
      </c>
      <c r="G145" s="384">
        <v>6.4</v>
      </c>
      <c r="H145" s="31"/>
      <c r="I145" s="31"/>
      <c r="J145" s="31"/>
      <c r="K145" s="31"/>
      <c r="L145" s="16"/>
    </row>
    <row r="146" spans="2:12" ht="17.5" x14ac:dyDescent="0.45">
      <c r="B146" s="433"/>
      <c r="C146" s="200" t="s">
        <v>372</v>
      </c>
      <c r="D146" s="384"/>
      <c r="E146" s="384"/>
      <c r="F146" s="384"/>
      <c r="G146" s="384"/>
      <c r="H146" s="31"/>
      <c r="I146" s="31"/>
      <c r="J146" s="31"/>
      <c r="K146" s="31"/>
      <c r="L146" s="16"/>
    </row>
    <row r="147" spans="2:12" ht="18" thickBot="1" x14ac:dyDescent="0.5">
      <c r="B147" s="362"/>
      <c r="C147" s="362" t="s">
        <v>373</v>
      </c>
      <c r="D147" s="385"/>
      <c r="E147" s="385"/>
      <c r="F147" s="385"/>
      <c r="G147" s="385"/>
      <c r="H147" s="31"/>
      <c r="I147" s="31"/>
      <c r="J147" s="31"/>
      <c r="K147" s="31"/>
      <c r="L147" s="16"/>
    </row>
    <row r="148" spans="2:12" ht="17.5" x14ac:dyDescent="0.45">
      <c r="B148" s="433" t="s">
        <v>36</v>
      </c>
      <c r="C148" s="200" t="s">
        <v>368</v>
      </c>
      <c r="D148" s="384"/>
      <c r="E148" s="384"/>
      <c r="F148" s="384"/>
      <c r="G148" s="384"/>
      <c r="H148" s="31"/>
      <c r="I148" s="31"/>
      <c r="J148" s="31"/>
      <c r="K148" s="31"/>
      <c r="L148" s="16"/>
    </row>
    <row r="149" spans="2:12" ht="17.5" x14ac:dyDescent="0.45">
      <c r="B149" s="433"/>
      <c r="C149" s="200" t="s">
        <v>369</v>
      </c>
      <c r="D149" s="384"/>
      <c r="E149" s="384"/>
      <c r="F149" s="384"/>
      <c r="G149" s="384"/>
      <c r="H149" s="31"/>
      <c r="I149" s="31"/>
      <c r="J149" s="31"/>
      <c r="K149" s="31"/>
      <c r="L149" s="16"/>
    </row>
    <row r="150" spans="2:12" ht="17.5" x14ac:dyDescent="0.45">
      <c r="B150" s="433"/>
      <c r="C150" s="200" t="s">
        <v>370</v>
      </c>
      <c r="D150" s="384"/>
      <c r="E150" s="384"/>
      <c r="F150" s="384"/>
      <c r="G150" s="384"/>
      <c r="H150" s="31"/>
      <c r="I150" s="31"/>
      <c r="J150" s="31"/>
      <c r="K150" s="31"/>
      <c r="L150" s="16"/>
    </row>
    <row r="151" spans="2:12" ht="32" x14ac:dyDescent="0.45">
      <c r="B151" s="433"/>
      <c r="C151" s="200" t="s">
        <v>371</v>
      </c>
      <c r="D151" s="384"/>
      <c r="E151" s="384"/>
      <c r="F151" s="384"/>
      <c r="G151" s="384"/>
      <c r="H151" s="31"/>
      <c r="I151" s="31"/>
      <c r="J151" s="31"/>
      <c r="K151" s="31"/>
      <c r="L151" s="16"/>
    </row>
    <row r="152" spans="2:12" ht="17.5" x14ac:dyDescent="0.45">
      <c r="B152" s="433"/>
      <c r="C152" s="200" t="s">
        <v>372</v>
      </c>
      <c r="D152" s="384"/>
      <c r="E152" s="384"/>
      <c r="F152" s="384"/>
      <c r="G152" s="384"/>
      <c r="H152" s="31"/>
      <c r="I152" s="31"/>
      <c r="J152" s="31"/>
      <c r="K152" s="31"/>
      <c r="L152" s="16"/>
    </row>
    <row r="153" spans="2:12" ht="18" thickBot="1" x14ac:dyDescent="0.5">
      <c r="B153" s="362"/>
      <c r="C153" s="362" t="s">
        <v>373</v>
      </c>
      <c r="D153" s="385"/>
      <c r="E153" s="385"/>
      <c r="F153" s="385"/>
      <c r="G153" s="385"/>
      <c r="H153" s="31"/>
      <c r="I153" s="31"/>
      <c r="J153" s="31"/>
      <c r="K153" s="31"/>
      <c r="L153" s="16"/>
    </row>
    <row r="154" spans="2:12" ht="17.5" x14ac:dyDescent="0.45">
      <c r="B154" s="433" t="s">
        <v>37</v>
      </c>
      <c r="C154" s="200" t="s">
        <v>368</v>
      </c>
      <c r="D154" s="384"/>
      <c r="E154" s="384"/>
      <c r="F154" s="384"/>
      <c r="G154" s="384"/>
      <c r="H154" s="31"/>
      <c r="I154" s="31"/>
      <c r="J154" s="31"/>
      <c r="K154" s="31"/>
      <c r="L154" s="16"/>
    </row>
    <row r="155" spans="2:12" ht="17.5" x14ac:dyDescent="0.45">
      <c r="B155" s="433"/>
      <c r="C155" s="200" t="s">
        <v>369</v>
      </c>
      <c r="D155" s="384"/>
      <c r="E155" s="384"/>
      <c r="F155" s="384"/>
      <c r="G155" s="384"/>
      <c r="H155" s="31"/>
      <c r="I155" s="31"/>
      <c r="J155" s="31"/>
      <c r="K155" s="31"/>
      <c r="L155" s="16"/>
    </row>
    <row r="156" spans="2:12" ht="17.5" x14ac:dyDescent="0.45">
      <c r="B156" s="433"/>
      <c r="C156" s="200" t="s">
        <v>370</v>
      </c>
      <c r="D156" s="384"/>
      <c r="E156" s="384"/>
      <c r="F156" s="384"/>
      <c r="G156" s="384"/>
      <c r="H156" s="31"/>
      <c r="I156" s="31"/>
      <c r="J156" s="31"/>
      <c r="K156" s="31"/>
      <c r="L156" s="16"/>
    </row>
    <row r="157" spans="2:12" ht="32" x14ac:dyDescent="0.45">
      <c r="B157" s="433"/>
      <c r="C157" s="200" t="s">
        <v>371</v>
      </c>
      <c r="D157" s="384"/>
      <c r="E157" s="384"/>
      <c r="F157" s="384"/>
      <c r="G157" s="384"/>
      <c r="H157" s="31"/>
      <c r="I157" s="31"/>
      <c r="J157" s="31"/>
      <c r="K157" s="31"/>
      <c r="L157" s="16"/>
    </row>
    <row r="158" spans="2:12" ht="17.5" x14ac:dyDescent="0.45">
      <c r="B158" s="433"/>
      <c r="C158" s="200" t="s">
        <v>372</v>
      </c>
      <c r="D158" s="384"/>
      <c r="E158" s="384"/>
      <c r="F158" s="384"/>
      <c r="G158" s="384"/>
      <c r="H158" s="31"/>
      <c r="I158" s="31"/>
      <c r="J158" s="31"/>
      <c r="K158" s="31"/>
      <c r="L158" s="16"/>
    </row>
    <row r="159" spans="2:12" ht="18" thickBot="1" x14ac:dyDescent="0.5">
      <c r="B159" s="362"/>
      <c r="C159" s="362" t="s">
        <v>373</v>
      </c>
      <c r="D159" s="385"/>
      <c r="E159" s="385"/>
      <c r="F159" s="385"/>
      <c r="G159" s="385"/>
      <c r="H159" s="31"/>
      <c r="I159" s="31"/>
      <c r="J159" s="31"/>
      <c r="K159" s="31"/>
      <c r="L159" s="16"/>
    </row>
    <row r="160" spans="2:12" ht="17.5" x14ac:dyDescent="0.45">
      <c r="B160" s="433" t="s">
        <v>57</v>
      </c>
      <c r="C160" s="200" t="s">
        <v>368</v>
      </c>
      <c r="D160" s="384"/>
      <c r="E160" s="384"/>
      <c r="F160" s="384"/>
      <c r="G160" s="384"/>
      <c r="H160" s="31"/>
      <c r="I160" s="31"/>
      <c r="J160" s="31"/>
      <c r="K160" s="31"/>
      <c r="L160" s="16"/>
    </row>
    <row r="161" spans="2:12" ht="17.5" x14ac:dyDescent="0.45">
      <c r="B161" s="433"/>
      <c r="C161" s="200" t="s">
        <v>369</v>
      </c>
      <c r="D161" s="384"/>
      <c r="E161" s="384"/>
      <c r="F161" s="384"/>
      <c r="G161" s="384"/>
      <c r="H161" s="31"/>
      <c r="I161" s="31"/>
      <c r="J161" s="31"/>
      <c r="K161" s="31"/>
      <c r="L161" s="16"/>
    </row>
    <row r="162" spans="2:12" ht="17.5" x14ac:dyDescent="0.45">
      <c r="B162" s="433"/>
      <c r="C162" s="200" t="s">
        <v>370</v>
      </c>
      <c r="D162" s="384"/>
      <c r="E162" s="384"/>
      <c r="F162" s="384"/>
      <c r="G162" s="384"/>
      <c r="H162" s="31"/>
      <c r="I162" s="31"/>
      <c r="J162" s="31"/>
      <c r="K162" s="31"/>
      <c r="L162" s="16"/>
    </row>
    <row r="163" spans="2:12" ht="32" x14ac:dyDescent="0.45">
      <c r="B163" s="433"/>
      <c r="C163" s="200" t="s">
        <v>371</v>
      </c>
      <c r="D163" s="384"/>
      <c r="E163" s="384"/>
      <c r="F163" s="384"/>
      <c r="G163" s="384"/>
      <c r="H163" s="31"/>
      <c r="I163" s="31"/>
      <c r="J163" s="31"/>
      <c r="K163" s="31"/>
      <c r="L163" s="16"/>
    </row>
    <row r="164" spans="2:12" ht="17.5" x14ac:dyDescent="0.45">
      <c r="B164" s="433"/>
      <c r="C164" s="200" t="s">
        <v>372</v>
      </c>
      <c r="D164" s="384"/>
      <c r="E164" s="384"/>
      <c r="F164" s="384"/>
      <c r="G164" s="384"/>
      <c r="H164" s="31"/>
      <c r="I164" s="31"/>
      <c r="J164" s="31"/>
      <c r="K164" s="31"/>
      <c r="L164" s="16"/>
    </row>
    <row r="165" spans="2:12" ht="18" thickBot="1" x14ac:dyDescent="0.5">
      <c r="B165" s="362"/>
      <c r="C165" s="362" t="s">
        <v>373</v>
      </c>
      <c r="D165" s="385"/>
      <c r="E165" s="385"/>
      <c r="F165" s="385"/>
      <c r="G165" s="385"/>
      <c r="H165" s="31"/>
      <c r="I165" s="31"/>
      <c r="J165" s="31"/>
      <c r="K165" s="31"/>
      <c r="L165" s="16"/>
    </row>
    <row r="166" spans="2:12" ht="17.5" x14ac:dyDescent="0.45">
      <c r="B166" s="433" t="s">
        <v>39</v>
      </c>
      <c r="C166" s="200" t="s">
        <v>368</v>
      </c>
      <c r="D166" s="384"/>
      <c r="E166" s="384"/>
      <c r="F166" s="384"/>
      <c r="G166" s="384"/>
      <c r="H166" s="72"/>
      <c r="I166" s="72"/>
      <c r="J166" s="16"/>
      <c r="K166" s="31"/>
      <c r="L166" s="16"/>
    </row>
    <row r="167" spans="2:12" ht="17.5" x14ac:dyDescent="0.45">
      <c r="B167" s="433"/>
      <c r="C167" s="200" t="s">
        <v>369</v>
      </c>
      <c r="D167" s="384"/>
      <c r="E167" s="384"/>
      <c r="F167" s="384"/>
      <c r="G167" s="384"/>
      <c r="H167" s="72"/>
      <c r="I167" s="72"/>
      <c r="J167" s="16"/>
      <c r="K167" s="31"/>
      <c r="L167" s="16"/>
    </row>
    <row r="168" spans="2:12" ht="17.5" x14ac:dyDescent="0.45">
      <c r="B168" s="433"/>
      <c r="C168" s="200" t="s">
        <v>370</v>
      </c>
      <c r="D168" s="384"/>
      <c r="E168" s="384"/>
      <c r="F168" s="384"/>
      <c r="G168" s="384"/>
      <c r="H168" s="72"/>
      <c r="I168" s="72"/>
      <c r="J168" s="16"/>
      <c r="K168" s="31"/>
      <c r="L168" s="16"/>
    </row>
    <row r="169" spans="2:12" ht="32" x14ac:dyDescent="0.45">
      <c r="B169" s="433"/>
      <c r="C169" s="200" t="s">
        <v>371</v>
      </c>
      <c r="D169" s="384"/>
      <c r="E169" s="384"/>
      <c r="F169" s="384"/>
      <c r="G169" s="384"/>
      <c r="H169" s="72"/>
      <c r="I169" s="72"/>
      <c r="J169" s="16"/>
      <c r="K169" s="31"/>
      <c r="L169" s="16"/>
    </row>
    <row r="170" spans="2:12" ht="17.5" x14ac:dyDescent="0.45">
      <c r="B170" s="433"/>
      <c r="C170" s="200" t="s">
        <v>372</v>
      </c>
      <c r="D170" s="384"/>
      <c r="E170" s="384"/>
      <c r="F170" s="384"/>
      <c r="G170" s="384"/>
      <c r="H170" s="74"/>
      <c r="I170" s="74"/>
      <c r="J170" s="16"/>
      <c r="K170" s="31"/>
      <c r="L170" s="16"/>
    </row>
    <row r="171" spans="2:12" ht="18" thickBot="1" x14ac:dyDescent="0.5">
      <c r="B171" s="362"/>
      <c r="C171" s="362" t="s">
        <v>373</v>
      </c>
      <c r="D171" s="385"/>
      <c r="E171" s="385"/>
      <c r="F171" s="385"/>
      <c r="G171" s="385"/>
      <c r="H171" s="74"/>
      <c r="I171" s="74"/>
      <c r="J171" s="31"/>
      <c r="K171" s="31"/>
      <c r="L171" s="16"/>
    </row>
    <row r="172" spans="2:12" ht="17.5" x14ac:dyDescent="0.45">
      <c r="B172" s="30"/>
      <c r="C172" s="30"/>
      <c r="D172" s="31"/>
      <c r="E172" s="31"/>
      <c r="F172" s="31"/>
      <c r="G172" s="31"/>
      <c r="H172" s="31"/>
      <c r="I172" s="31"/>
      <c r="J172" s="31"/>
      <c r="K172" s="31"/>
      <c r="L172" s="31"/>
    </row>
    <row r="173" spans="2:12" x14ac:dyDescent="0.35">
      <c r="C173" s="2"/>
      <c r="D173" s="1"/>
      <c r="E173" s="1"/>
      <c r="F173" s="1"/>
      <c r="G173" s="1"/>
      <c r="H173" s="1"/>
      <c r="I173" s="1"/>
      <c r="J173" s="1"/>
    </row>
    <row r="174" spans="2:12" x14ac:dyDescent="0.35">
      <c r="C174" s="2"/>
      <c r="D174" s="1"/>
      <c r="E174" s="1"/>
      <c r="F174" s="1"/>
      <c r="G174" s="1"/>
      <c r="H174" s="1"/>
      <c r="I174" s="1"/>
      <c r="J174" s="1"/>
    </row>
    <row r="175" spans="2:12" x14ac:dyDescent="0.35">
      <c r="B175" t="s">
        <v>378</v>
      </c>
      <c r="C175" s="2"/>
      <c r="D175" s="1"/>
      <c r="E175" s="1"/>
      <c r="F175" s="1"/>
      <c r="G175" s="1"/>
      <c r="H175" s="1"/>
      <c r="I175" s="1"/>
      <c r="J175" s="1"/>
    </row>
    <row r="176" spans="2:12" x14ac:dyDescent="0.35">
      <c r="C176" s="2"/>
      <c r="D176" s="1"/>
      <c r="E176" s="1"/>
      <c r="F176" s="1"/>
      <c r="G176" s="1"/>
      <c r="H176" s="1"/>
      <c r="I176" s="1"/>
      <c r="J176" s="1"/>
    </row>
    <row r="177" spans="3:9" x14ac:dyDescent="0.35">
      <c r="C177" s="2"/>
      <c r="D177" s="1"/>
      <c r="E177" s="1"/>
      <c r="F177" s="1"/>
      <c r="G177" s="1"/>
      <c r="H177" s="1"/>
      <c r="I177" s="1"/>
    </row>
    <row r="178" spans="3:9" x14ac:dyDescent="0.35">
      <c r="C178" s="2"/>
      <c r="D178" s="1"/>
      <c r="E178" s="1"/>
      <c r="F178" s="1"/>
      <c r="G178" s="1"/>
      <c r="H178" s="1"/>
      <c r="I178" s="1"/>
    </row>
    <row r="179" spans="3:9" x14ac:dyDescent="0.35">
      <c r="C179" s="4"/>
      <c r="D179" s="1"/>
      <c r="E179" s="1"/>
      <c r="F179" s="1"/>
      <c r="G179" s="1"/>
      <c r="H179" s="1"/>
      <c r="I179" s="1"/>
    </row>
    <row r="180" spans="3:9" x14ac:dyDescent="0.35">
      <c r="C180" s="1"/>
      <c r="D180" s="1"/>
      <c r="E180" s="1"/>
      <c r="F180" s="1"/>
      <c r="G180" s="1"/>
      <c r="H180" s="1"/>
      <c r="I180" s="1"/>
    </row>
    <row r="181" spans="3:9" x14ac:dyDescent="0.35">
      <c r="C181" s="1"/>
      <c r="D181" s="1"/>
      <c r="E181" s="1"/>
      <c r="F181" s="1"/>
      <c r="G181" s="1"/>
      <c r="H181" s="1"/>
      <c r="I181" s="1"/>
    </row>
  </sheetData>
  <mergeCells count="7">
    <mergeCell ref="B6:N6"/>
    <mergeCell ref="F1:I2"/>
    <mergeCell ref="B74:B75"/>
    <mergeCell ref="C74:C75"/>
    <mergeCell ref="D74:E74"/>
    <mergeCell ref="F74:G74"/>
    <mergeCell ref="H74:I74"/>
  </mergeCells>
  <hyperlinks>
    <hyperlink ref="B8" location="DetailedWater" display="Water" xr:uid="{00000000-0004-0000-0300-000000000000}"/>
    <hyperlink ref="B9" location="DetailedWaterConsumed" display="Water consumed (megalitres)" xr:uid="{00000000-0004-0000-0300-000001000000}"/>
    <hyperlink ref="B10" location="DetailedWaterRecycled" display="Water recycled (megalitres)" xr:uid="{00000000-0004-0000-0300-000002000000}"/>
    <hyperlink ref="B11" location="DetailedRainwater_harvested__megalitres" display="Rainwater harvested (megalitres)" xr:uid="{00000000-0004-0000-0300-000003000000}"/>
    <hyperlink ref="D9" location="DetailedktCO2e" display="Kilotonnes (kt) of CO2-e [2] (Scope 1 and 2)" xr:uid="{00000000-0004-0000-0300-000004000000}"/>
    <hyperlink ref="D10" location="DetailedIntensity" display="Emissions intensity (kg per unit)" xr:uid="{00000000-0004-0000-0300-000005000000}"/>
    <hyperlink ref="D11" location="DetailedGHGDetail" display="Greenhouse gas (GHG) emissions (detail)" xr:uid="{00000000-0004-0000-0300-000006000000}"/>
    <hyperlink ref="G8" location="DetailedWaste1" display="Waste and recycling" xr:uid="{00000000-0004-0000-0300-000007000000}"/>
    <hyperlink ref="G9" location="DetailedWaste" display="General waste, recycling and hazardous waste (metric tonnes)" xr:uid="{00000000-0004-0000-0300-000008000000}"/>
    <hyperlink ref="D8" location="Detailedemissions" display="Energy and Emissions" xr:uid="{00000000-0004-0000-0300-000009000000}"/>
  </hyperlink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sheetPr>
  <dimension ref="A1:R27"/>
  <sheetViews>
    <sheetView showGridLines="0" zoomScale="110" zoomScaleNormal="110" workbookViewId="0">
      <selection activeCell="E8" sqref="E8"/>
    </sheetView>
  </sheetViews>
  <sheetFormatPr defaultColWidth="9" defaultRowHeight="15.5" x14ac:dyDescent="0.35"/>
  <cols>
    <col min="1" max="1" width="2.75" style="175" customWidth="1"/>
    <col min="2" max="2" width="30.08203125" customWidth="1"/>
    <col min="3" max="8" width="12.08203125" customWidth="1"/>
    <col min="9" max="9" width="11.08203125" customWidth="1"/>
  </cols>
  <sheetData>
    <row r="1" spans="1:14" s="131" customFormat="1" x14ac:dyDescent="0.35">
      <c r="A1" s="177"/>
    </row>
    <row r="2" spans="1:14" s="131" customFormat="1" ht="29" x14ac:dyDescent="0.35">
      <c r="A2" s="177"/>
      <c r="B2" s="186" t="s">
        <v>379</v>
      </c>
    </row>
    <row r="3" spans="1:14" x14ac:dyDescent="0.35">
      <c r="A3" s="13"/>
      <c r="B3" t="s">
        <v>1</v>
      </c>
      <c r="C3" s="644">
        <v>43738</v>
      </c>
      <c r="D3" s="13"/>
      <c r="E3" s="13"/>
      <c r="F3" s="13"/>
      <c r="G3" s="13"/>
      <c r="H3" s="13"/>
      <c r="I3" s="13"/>
      <c r="J3" s="13"/>
      <c r="K3" s="13"/>
      <c r="L3" s="13"/>
    </row>
    <row r="4" spans="1:14" x14ac:dyDescent="0.35">
      <c r="B4" s="184" t="s">
        <v>227</v>
      </c>
    </row>
    <row r="5" spans="1:14" ht="34.9" customHeight="1" x14ac:dyDescent="0.35">
      <c r="A5" s="13"/>
      <c r="B5" s="649" t="s">
        <v>3</v>
      </c>
      <c r="C5" s="649"/>
      <c r="D5" s="649"/>
      <c r="E5" s="649"/>
      <c r="F5" s="649"/>
      <c r="G5" s="649"/>
      <c r="H5" s="649"/>
      <c r="I5" s="649"/>
      <c r="J5" s="649"/>
      <c r="K5" s="649"/>
      <c r="L5" s="649"/>
      <c r="M5" s="649"/>
      <c r="N5" s="649"/>
    </row>
    <row r="6" spans="1:14" s="131" customFormat="1" ht="17.5" x14ac:dyDescent="0.35">
      <c r="B6" s="134" t="s">
        <v>4</v>
      </c>
    </row>
    <row r="7" spans="1:14" x14ac:dyDescent="0.35">
      <c r="B7" s="183" t="s">
        <v>380</v>
      </c>
    </row>
    <row r="8" spans="1:14" x14ac:dyDescent="0.35">
      <c r="B8" s="183" t="s">
        <v>381</v>
      </c>
    </row>
    <row r="10" spans="1:14" s="131" customFormat="1" ht="17.5" x14ac:dyDescent="0.45">
      <c r="A10" s="177"/>
      <c r="B10" s="134" t="s">
        <v>382</v>
      </c>
      <c r="C10" s="134"/>
      <c r="D10" s="133"/>
      <c r="E10" s="133"/>
      <c r="F10" s="133"/>
      <c r="G10" s="133"/>
      <c r="H10" s="133"/>
    </row>
    <row r="11" spans="1:14" ht="8.5" customHeight="1" thickBot="1" x14ac:dyDescent="0.5">
      <c r="B11" s="135"/>
      <c r="C11" s="135"/>
      <c r="D11" s="132"/>
      <c r="E11" s="132"/>
      <c r="F11" s="132"/>
      <c r="G11" s="132"/>
      <c r="H11" s="132"/>
      <c r="I11" s="13"/>
      <c r="J11" s="13"/>
      <c r="K11" s="13"/>
    </row>
    <row r="12" spans="1:14" ht="32" x14ac:dyDescent="0.35">
      <c r="B12" s="172"/>
      <c r="C12" s="159" t="s">
        <v>33</v>
      </c>
      <c r="D12" s="159" t="s">
        <v>34</v>
      </c>
      <c r="E12" s="159" t="s">
        <v>35</v>
      </c>
      <c r="F12" s="535" t="s">
        <v>383</v>
      </c>
      <c r="G12" s="159" t="s">
        <v>37</v>
      </c>
      <c r="H12" s="159" t="s">
        <v>57</v>
      </c>
      <c r="I12" s="159" t="s">
        <v>39</v>
      </c>
      <c r="J12" s="13"/>
      <c r="K12" s="13"/>
      <c r="L12" s="13"/>
    </row>
    <row r="13" spans="1:14" ht="16" x14ac:dyDescent="0.35">
      <c r="B13" s="174" t="s">
        <v>384</v>
      </c>
      <c r="C13" s="494">
        <v>1056845.4422840299</v>
      </c>
      <c r="D13" s="494">
        <v>1143124.1409970298</v>
      </c>
      <c r="E13" s="494">
        <v>685712</v>
      </c>
      <c r="F13" s="138">
        <v>896067.11</v>
      </c>
      <c r="G13" s="138">
        <v>1248719.22</v>
      </c>
      <c r="H13" s="138">
        <v>1115743</v>
      </c>
      <c r="I13" s="138">
        <v>680000</v>
      </c>
      <c r="J13" s="13"/>
      <c r="K13" s="13"/>
      <c r="L13" s="13"/>
    </row>
    <row r="14" spans="1:14" ht="16" x14ac:dyDescent="0.35">
      <c r="B14" s="174" t="s">
        <v>385</v>
      </c>
      <c r="C14" s="494">
        <v>2781638.4377199882</v>
      </c>
      <c r="D14" s="494">
        <v>2866011.9162429883</v>
      </c>
      <c r="E14" s="494">
        <v>2492387</v>
      </c>
      <c r="F14" s="138">
        <v>2921204.4494742602</v>
      </c>
      <c r="G14" s="138">
        <v>2868418.27</v>
      </c>
      <c r="H14" s="138">
        <v>1540543</v>
      </c>
      <c r="I14" s="138">
        <v>1450000</v>
      </c>
      <c r="J14" s="13"/>
      <c r="K14" s="13"/>
      <c r="L14" s="13"/>
    </row>
    <row r="15" spans="1:14" ht="16" x14ac:dyDescent="0.35">
      <c r="B15" s="174" t="s">
        <v>386</v>
      </c>
      <c r="C15" s="494">
        <v>582544.04860765673</v>
      </c>
      <c r="D15" s="494">
        <v>591281.80556357966</v>
      </c>
      <c r="E15" s="494">
        <v>439778.52</v>
      </c>
      <c r="F15" s="138">
        <v>439778.52299559372</v>
      </c>
      <c r="G15" s="138">
        <v>424000</v>
      </c>
      <c r="H15" s="138">
        <v>400000</v>
      </c>
      <c r="I15" s="138">
        <v>290000</v>
      </c>
      <c r="J15" s="13"/>
      <c r="K15" s="13"/>
      <c r="L15" s="13"/>
    </row>
    <row r="16" spans="1:14" ht="16" x14ac:dyDescent="0.35">
      <c r="B16" s="173" t="s">
        <v>387</v>
      </c>
      <c r="C16" s="495">
        <v>4421027.9286116753</v>
      </c>
      <c r="D16" s="495">
        <v>4600417.8628035979</v>
      </c>
      <c r="E16" s="495">
        <f>SUM(E13:E15)</f>
        <v>3617877.52</v>
      </c>
      <c r="F16" s="137">
        <f t="shared" ref="F16:I16" si="0">SUM(F13:F15)</f>
        <v>4257050.0824698536</v>
      </c>
      <c r="G16" s="137">
        <f t="shared" si="0"/>
        <v>4541137.49</v>
      </c>
      <c r="H16" s="137">
        <f t="shared" si="0"/>
        <v>3056286</v>
      </c>
      <c r="I16" s="137">
        <f t="shared" si="0"/>
        <v>2420000</v>
      </c>
      <c r="J16" s="13"/>
      <c r="K16" s="13"/>
      <c r="L16" s="13"/>
    </row>
    <row r="17" spans="1:18" ht="16" x14ac:dyDescent="0.35">
      <c r="B17" s="176" t="s">
        <v>388</v>
      </c>
      <c r="C17" s="494">
        <v>652400000</v>
      </c>
      <c r="D17" s="494">
        <v>1726000000</v>
      </c>
      <c r="E17" s="494">
        <v>719050000</v>
      </c>
      <c r="F17" s="138">
        <v>881220000</v>
      </c>
      <c r="G17" s="138">
        <v>672700000</v>
      </c>
      <c r="H17" s="138">
        <v>801100000</v>
      </c>
      <c r="I17" s="138">
        <v>829900000</v>
      </c>
      <c r="J17" s="13"/>
      <c r="K17" s="13"/>
      <c r="L17" s="13"/>
    </row>
    <row r="18" spans="1:18" ht="15.65" customHeight="1" thickBot="1" x14ac:dyDescent="0.4">
      <c r="B18" s="178" t="s">
        <v>389</v>
      </c>
      <c r="C18" s="493">
        <f>C16/C17</f>
        <v>6.776560282973138E-3</v>
      </c>
      <c r="D18" s="493">
        <f>D16/D17</f>
        <v>2.6653637675571251E-3</v>
      </c>
      <c r="E18" s="493">
        <f>E16/E17</f>
        <v>5.0314686322230724E-3</v>
      </c>
      <c r="F18" s="179">
        <f>IFERROR(F16/F17,0)</f>
        <v>4.8308595838381487E-3</v>
      </c>
      <c r="G18" s="180">
        <f>G16/G17</f>
        <v>6.7506131856696896E-3</v>
      </c>
      <c r="H18" s="180">
        <f>H16/H17</f>
        <v>3.8151117213830982E-3</v>
      </c>
      <c r="I18" s="180">
        <f>I16/I17</f>
        <v>2.9160139775876613E-3</v>
      </c>
      <c r="J18" s="13"/>
      <c r="K18" s="13"/>
      <c r="L18" s="13"/>
    </row>
    <row r="19" spans="1:18" ht="17.5" x14ac:dyDescent="0.45">
      <c r="B19" s="139"/>
      <c r="C19" s="139"/>
      <c r="D19" s="140"/>
      <c r="E19" s="140"/>
      <c r="F19" s="132"/>
      <c r="G19" s="132"/>
      <c r="H19" s="132"/>
      <c r="I19" s="13"/>
      <c r="J19" s="13"/>
      <c r="K19" s="13"/>
    </row>
    <row r="20" spans="1:18" s="131" customFormat="1" ht="17.5" x14ac:dyDescent="0.45">
      <c r="A20" s="177"/>
      <c r="B20" s="134" t="s">
        <v>390</v>
      </c>
      <c r="C20" s="134"/>
      <c r="D20" s="133"/>
      <c r="E20" s="133"/>
      <c r="F20" s="133"/>
      <c r="G20" s="133"/>
      <c r="H20" s="133"/>
    </row>
    <row r="21" spans="1:18" ht="7.15" customHeight="1" thickBot="1" x14ac:dyDescent="0.5">
      <c r="B21" s="141"/>
      <c r="C21" s="141"/>
      <c r="D21" s="16"/>
      <c r="E21" s="16"/>
      <c r="F21" s="16"/>
      <c r="G21" s="16"/>
      <c r="H21" s="16"/>
    </row>
    <row r="22" spans="1:18" ht="32" x14ac:dyDescent="0.35">
      <c r="B22" s="170"/>
      <c r="C22" s="159" t="s">
        <v>33</v>
      </c>
      <c r="D22" s="159" t="s">
        <v>34</v>
      </c>
      <c r="E22" s="634" t="s">
        <v>35</v>
      </c>
      <c r="F22" s="136" t="s">
        <v>36</v>
      </c>
      <c r="G22" s="136" t="s">
        <v>37</v>
      </c>
      <c r="H22" s="136" t="s">
        <v>57</v>
      </c>
      <c r="I22" s="136" t="s">
        <v>39</v>
      </c>
      <c r="J22" s="13"/>
      <c r="K22" s="13"/>
      <c r="L22" s="13"/>
    </row>
    <row r="23" spans="1:18" ht="15.65" customHeight="1" x14ac:dyDescent="0.35">
      <c r="B23" s="181" t="s">
        <v>391</v>
      </c>
      <c r="C23" s="635">
        <v>1.91</v>
      </c>
      <c r="D23" s="635">
        <v>1.7802599443266707</v>
      </c>
      <c r="E23" s="635">
        <v>1.68</v>
      </c>
      <c r="F23" s="635">
        <v>1.59</v>
      </c>
      <c r="G23" s="182">
        <v>1.25</v>
      </c>
      <c r="H23" s="182">
        <v>1.1499999999999999</v>
      </c>
      <c r="I23" s="182">
        <v>0.92</v>
      </c>
      <c r="J23" s="13"/>
      <c r="K23" s="13"/>
      <c r="L23" s="13"/>
    </row>
    <row r="24" spans="1:18" ht="16.149999999999999" customHeight="1" thickBot="1" x14ac:dyDescent="0.4">
      <c r="B24" s="171" t="s">
        <v>392</v>
      </c>
      <c r="C24" s="636">
        <v>21602</v>
      </c>
      <c r="D24" s="636">
        <v>21904</v>
      </c>
      <c r="E24" s="636">
        <v>16876</v>
      </c>
      <c r="F24" s="636">
        <v>17426</v>
      </c>
      <c r="G24" s="142">
        <v>17221</v>
      </c>
      <c r="H24" s="142">
        <v>17214.650000000001</v>
      </c>
      <c r="I24" s="142">
        <v>12500</v>
      </c>
      <c r="J24" s="13"/>
      <c r="K24" s="13"/>
      <c r="L24" s="13"/>
    </row>
    <row r="25" spans="1:18" ht="17.5" x14ac:dyDescent="0.45">
      <c r="B25" s="139"/>
      <c r="C25" s="139"/>
      <c r="D25" s="132"/>
      <c r="E25" s="132"/>
      <c r="F25" s="132"/>
      <c r="G25" s="132"/>
      <c r="H25" s="132"/>
      <c r="I25" s="13"/>
      <c r="J25" s="13"/>
      <c r="K25" s="13"/>
    </row>
    <row r="26" spans="1:18" s="377" customFormat="1" ht="21" x14ac:dyDescent="0.55000000000000004">
      <c r="B26" s="14" t="s">
        <v>30</v>
      </c>
      <c r="C26" s="14"/>
      <c r="D26" s="378"/>
      <c r="E26" s="378"/>
      <c r="F26" s="378"/>
      <c r="G26" s="378"/>
      <c r="H26" s="378"/>
      <c r="I26" s="378"/>
      <c r="K26" s="378"/>
    </row>
    <row r="27" spans="1:18" s="388" customFormat="1" ht="15.65" customHeight="1" x14ac:dyDescent="0.35">
      <c r="A27" s="260"/>
      <c r="B27" s="393" t="s">
        <v>393</v>
      </c>
      <c r="C27" s="387"/>
      <c r="D27" s="387"/>
      <c r="E27" s="387"/>
      <c r="F27" s="387"/>
      <c r="G27" s="387"/>
      <c r="H27" s="387"/>
      <c r="I27" s="387"/>
      <c r="J27" s="387"/>
      <c r="K27" s="387"/>
      <c r="L27" s="387"/>
      <c r="M27" s="387"/>
      <c r="N27" s="387"/>
      <c r="O27" s="387"/>
      <c r="P27" s="387"/>
      <c r="Q27" s="387"/>
      <c r="R27" s="387"/>
    </row>
  </sheetData>
  <mergeCells count="1">
    <mergeCell ref="B5:N5"/>
  </mergeCells>
  <hyperlinks>
    <hyperlink ref="B7" location="Brambles_community_investment__US" display="Brambles Commuity Investment " xr:uid="{00000000-0004-0000-0400-000000000000}"/>
    <hyperlink ref="B8" location="Volunteering_hours" display="Volunteering Hours" xr:uid="{00000000-0004-0000-0400-000001000000}"/>
    <hyperlink ref="F12" location="'Better Communities'!B27" display="FY18 [1]" xr:uid="{00000000-0004-0000-0400-000002000000}"/>
  </hyperlink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FD7A9788C84528409E420F71547135D5" ma:contentTypeVersion="10" ma:contentTypeDescription="Create a new document." ma:contentTypeScope="" ma:versionID="4216c13beae25a4a7a2d9dcd338279d4">
  <xsd:schema xmlns:xsd="http://www.w3.org/2001/XMLSchema" xmlns:xs="http://www.w3.org/2001/XMLSchema" xmlns:p="http://schemas.microsoft.com/office/2006/metadata/properties" xmlns:ns3="414010ff-7298-4186-8df6-86ee325666ac" targetNamespace="http://schemas.microsoft.com/office/2006/metadata/properties" ma:root="true" ma:fieldsID="954b31252636ae5539cc3a66edb7d29d" ns3:_="">
    <xsd:import namespace="414010ff-7298-4186-8df6-86ee325666ac"/>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GenerationTime" minOccurs="0"/>
                <xsd:element ref="ns3:MediaServiceEventHashCode" minOccurs="0"/>
                <xsd:element ref="ns3:MediaServiceOCR" minOccurs="0"/>
                <xsd:element ref="ns3:MediaServiceAutoKeyPoints" minOccurs="0"/>
                <xsd:element ref="ns3:MediaServiceKeyPoints" minOccurs="0"/>
                <xsd:element ref="ns3:MediaServiceDateTaken"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14010ff-7298-4186-8df6-86ee325666a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4DE3C90-3FE5-4935-B6A0-F3F756130A13}">
  <ds:schemaRefs>
    <ds:schemaRef ds:uri="http://schemas.microsoft.com/sharepoint/v3/contenttype/forms"/>
  </ds:schemaRefs>
</ds:datastoreItem>
</file>

<file path=customXml/itemProps2.xml><?xml version="1.0" encoding="utf-8"?>
<ds:datastoreItem xmlns:ds="http://schemas.openxmlformats.org/officeDocument/2006/customXml" ds:itemID="{E3680317-E6EC-492D-80D5-811EAC7258C8}">
  <ds:schemaRefs>
    <ds:schemaRef ds:uri="http://schemas.microsoft.com/office/2006/documentManagement/types"/>
    <ds:schemaRef ds:uri="414010ff-7298-4186-8df6-86ee325666ac"/>
    <ds:schemaRef ds:uri="http://schemas.microsoft.com/office/infopath/2007/PartnerControls"/>
    <ds:schemaRef ds:uri="http://purl.org/dc/elements/1.1/"/>
    <ds:schemaRef ds:uri="http://schemas.openxmlformats.org/package/2006/metadata/core-properties"/>
    <ds:schemaRef ds:uri="http://purl.org/dc/terms/"/>
    <ds:schemaRef ds:uri="http://schemas.microsoft.com/office/2006/metadata/properties"/>
    <ds:schemaRef ds:uri="http://www.w3.org/XML/1998/namespace"/>
    <ds:schemaRef ds:uri="http://purl.org/dc/dcmitype/"/>
  </ds:schemaRefs>
</ds:datastoreItem>
</file>

<file path=customXml/itemProps3.xml><?xml version="1.0" encoding="utf-8"?>
<ds:datastoreItem xmlns:ds="http://schemas.openxmlformats.org/officeDocument/2006/customXml" ds:itemID="{503AE4F1-207D-4A3E-B320-CF15F4D9943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14010ff-7298-4186-8df6-86ee325666a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97</vt:i4>
      </vt:variant>
    </vt:vector>
  </HeadingPairs>
  <TitlesOfParts>
    <vt:vector size="102" baseType="lpstr">
      <vt:lpstr>Sustainability Framework</vt:lpstr>
      <vt:lpstr>Better Business</vt:lpstr>
      <vt:lpstr>Better Planet</vt:lpstr>
      <vt:lpstr>Emissions Water &amp; Waste Detail</vt:lpstr>
      <vt:lpstr>Better Communities</vt:lpstr>
      <vt:lpstr>Age_distribution_of_permanent_employees</vt:lpstr>
      <vt:lpstr>BBFootnotes</vt:lpstr>
      <vt:lpstr>BIFR_by_gender</vt:lpstr>
      <vt:lpstr>BIFR_by_segment</vt:lpstr>
      <vt:lpstr>BPFootnote</vt:lpstr>
      <vt:lpstr>Brambles_community_investment__US</vt:lpstr>
      <vt:lpstr>Brambles_Injury_Frequency_Rate__BIFR</vt:lpstr>
      <vt:lpstr>Brambles’_recycling_efforts__excluding_reclaimed___metric_tonnes</vt:lpstr>
      <vt:lpstr>Customer_feedback</vt:lpstr>
      <vt:lpstr>Detailedemissions</vt:lpstr>
      <vt:lpstr>DetailedGHGDetail</vt:lpstr>
      <vt:lpstr>DetailedIntensity</vt:lpstr>
      <vt:lpstr>DetailedktCO2e</vt:lpstr>
      <vt:lpstr>DetailedRainwater_harvested__megalitres</vt:lpstr>
      <vt:lpstr>DetailedWaste</vt:lpstr>
      <vt:lpstr>DetailedWaste1</vt:lpstr>
      <vt:lpstr>DetailedWater</vt:lpstr>
      <vt:lpstr>DetailedWaterConsumed</vt:lpstr>
      <vt:lpstr>DetailedWaterRecycled</vt:lpstr>
      <vt:lpstr>Detergent_purchased_for_washing_of_pallets__RPCs_and_containers</vt:lpstr>
      <vt:lpstr>Education__Training_and_Development</vt:lpstr>
      <vt:lpstr>Education__training_and_development_days</vt:lpstr>
      <vt:lpstr>Emissions_intensity__kg_per_unit</vt:lpstr>
      <vt:lpstr>Employee_hires_by_age_group</vt:lpstr>
      <vt:lpstr>Employee_hires_by_gender</vt:lpstr>
      <vt:lpstr>Employees_by_employment_contract</vt:lpstr>
      <vt:lpstr>Employees_by_employment_type</vt:lpstr>
      <vt:lpstr>Energy_and_Emissions</vt:lpstr>
      <vt:lpstr>Engagement__5</vt:lpstr>
      <vt:lpstr>Environmental_benefits_delivered_in_customers__supply_chains__15</vt:lpstr>
      <vt:lpstr>FB2BB</vt:lpstr>
      <vt:lpstr>FB5BP</vt:lpstr>
      <vt:lpstr>FN10BB</vt:lpstr>
      <vt:lpstr>FN11BB</vt:lpstr>
      <vt:lpstr>FN12BB</vt:lpstr>
      <vt:lpstr>FN13BB</vt:lpstr>
      <vt:lpstr>FN14BB</vt:lpstr>
      <vt:lpstr>FN15BB</vt:lpstr>
      <vt:lpstr>FN16BB</vt:lpstr>
      <vt:lpstr>FN17BB</vt:lpstr>
      <vt:lpstr>FN1BB</vt:lpstr>
      <vt:lpstr>FN1BP</vt:lpstr>
      <vt:lpstr>FN2BB</vt:lpstr>
      <vt:lpstr>FN2BP</vt:lpstr>
      <vt:lpstr>FN3BB</vt:lpstr>
      <vt:lpstr>FN3BP</vt:lpstr>
      <vt:lpstr>FN4BB</vt:lpstr>
      <vt:lpstr>FN4BP</vt:lpstr>
      <vt:lpstr>FN5BB</vt:lpstr>
      <vt:lpstr>FN5BP</vt:lpstr>
      <vt:lpstr>FN6BB</vt:lpstr>
      <vt:lpstr>FN6BP</vt:lpstr>
      <vt:lpstr>FN7BB</vt:lpstr>
      <vt:lpstr>FN7BP</vt:lpstr>
      <vt:lpstr>FN8BB</vt:lpstr>
      <vt:lpstr>FN9BB</vt:lpstr>
      <vt:lpstr>Footnotes</vt:lpstr>
      <vt:lpstr>General_waste__recycling_and_hazardous_waste__metric_tonnes</vt:lpstr>
      <vt:lpstr>GHG_generation_by_source</vt:lpstr>
      <vt:lpstr>Global_insights_relationship_survey</vt:lpstr>
      <vt:lpstr>Greenhouse_gas__GHG__emissions__detail</vt:lpstr>
      <vt:lpstr>Greenhouse_gas__GHG__emissions__Scope_3</vt:lpstr>
      <vt:lpstr>Group_employees_returning_from_parental_leave_during_the_Year_as_a_percentage_of_those_who_took_parental_leave</vt:lpstr>
      <vt:lpstr>Group_employees_returning_to_work_after_parental_leave_during_the_Year</vt:lpstr>
      <vt:lpstr>Group_employees_taking_parental_leave_during_the_Year</vt:lpstr>
      <vt:lpstr>Kilotonnes__kt__of_CO2_e__4___Scope_1_and_2</vt:lpstr>
      <vt:lpstr>Male__female_salary_ratios</vt:lpstr>
      <vt:lpstr>NatRes</vt:lpstr>
      <vt:lpstr>Number_of_employees</vt:lpstr>
      <vt:lpstr>Office_v_Plant_ratio__permanent_employees</vt:lpstr>
      <vt:lpstr>Offset_Credits_Purchased___Through_Carbon_Neutral_Pallet_Promotion__8</vt:lpstr>
      <vt:lpstr>People_performance____Employee_Stats__12</vt:lpstr>
      <vt:lpstr>Permanent_employees_by_gender__management_positions__as_at_30_June____male_female</vt:lpstr>
      <vt:lpstr>Permanent_employees_by_gender__total_____male_female</vt:lpstr>
      <vt:lpstr>Plastic_purchased_for_manufacture_of_RPCs</vt:lpstr>
      <vt:lpstr>Plastic_recovered_and_reused_in_manufacture_of_RPCs__metric_tonnes</vt:lpstr>
      <vt:lpstr>PlasticVol</vt:lpstr>
      <vt:lpstr>Purchase_of_Credits</vt:lpstr>
      <vt:lpstr>Rainwater_harvested__megalitres___16</vt:lpstr>
      <vt:lpstr>Renewable_Energy_Certificate_Credits_Purchased___Covering_Scope_2_emissions__9</vt:lpstr>
      <vt:lpstr>Sharing_and_reusing_model_performance</vt:lpstr>
      <vt:lpstr>Terajoules__TJ__of_energy__Scope_1_and_2</vt:lpstr>
      <vt:lpstr>Total_number_of_employee_hires</vt:lpstr>
      <vt:lpstr>Volume_of_detergent__litres</vt:lpstr>
      <vt:lpstr>Volume_of_plastic__tonnes</vt:lpstr>
      <vt:lpstr>Volume_of_wood_by_classification_and_segment_for_the_Year</vt:lpstr>
      <vt:lpstr>Voluntary_turnover_of_employees</vt:lpstr>
      <vt:lpstr>Volunteering_hours</vt:lpstr>
      <vt:lpstr>Waste_and_recycling</vt:lpstr>
      <vt:lpstr>Water</vt:lpstr>
      <vt:lpstr>Water_consumed__megalitres___15</vt:lpstr>
      <vt:lpstr>Water_discharged__megalitres___16</vt:lpstr>
      <vt:lpstr>Water_recycled__megalitres</vt:lpstr>
      <vt:lpstr>Wood_reclaimed__Pallets___metric_tonnes</vt:lpstr>
      <vt:lpstr>Wood_volume__m3__by_forest_source_certification</vt:lpstr>
      <vt:lpstr>Wood_volume_by_continent_of_origin</vt:lpstr>
      <vt:lpstr>WoodVol</vt:lpstr>
    </vt:vector>
  </TitlesOfParts>
  <Manager/>
  <Company>Jennifer Lorance Consulting</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Jennifer Lorance</dc:creator>
  <cp:keywords/>
  <dc:description/>
  <cp:lastModifiedBy>Mocquard, Hugo</cp:lastModifiedBy>
  <cp:revision/>
  <dcterms:created xsi:type="dcterms:W3CDTF">2016-09-12T01:46:21Z</dcterms:created>
  <dcterms:modified xsi:type="dcterms:W3CDTF">2019-10-01T07:09:46Z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0x010100FD7A9788C84528409E420F71547135D5</vt:lpwstr>
  </property>
</Properties>
</file>