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clachd\AppData\Local\Microsoft\Windows\INetCache\Content.Outlook\Q7LV83SC\"/>
    </mc:Choice>
  </mc:AlternateContent>
  <xr:revisionPtr revIDLastSave="0" documentId="10_ncr:100000_{95BE7C5D-ED8F-4BDB-9096-E0DEA4D1E91F}" xr6:coauthVersionLast="31" xr6:coauthVersionMax="37" xr10:uidLastSave="{00000000-0000-0000-0000-000000000000}"/>
  <bookViews>
    <workbookView xWindow="17385" yWindow="0" windowWidth="27285" windowHeight="22920" tabRatio="500" firstSheet="1" activeTab="1" xr2:uid="{00000000-000D-0000-FFFF-FFFF00000000}"/>
  </bookViews>
  <sheets>
    <sheet name="Sustainability Framework" sheetId="4" r:id="rId1"/>
    <sheet name="Better Business" sheetId="2" r:id="rId2"/>
    <sheet name="Better Planet" sheetId="1" r:id="rId3"/>
    <sheet name="Better Communities" sheetId="3" r:id="rId4"/>
  </sheets>
  <externalReferences>
    <externalReference r:id="rId5"/>
    <externalReference r:id="rId6"/>
    <externalReference r:id="rId7"/>
  </externalReferences>
  <definedNames>
    <definedName name="BB_01">'Better Business'!$B$306</definedName>
    <definedName name="BB_02">'Better Business'!$B$307</definedName>
    <definedName name="BB_03">'Better Business'!$B$308</definedName>
    <definedName name="BB_05">'Better Business'!$B$309</definedName>
    <definedName name="BB_08">'Better Business'!$B$310</definedName>
    <definedName name="BB_09">'Better Business'!$B$311</definedName>
    <definedName name="BB_10">'Better Business'!$B$312</definedName>
    <definedName name="BB_11">'Better Business'!$B$313</definedName>
    <definedName name="BB_12">'Better Business'!$B$314</definedName>
    <definedName name="BB_13">'Better Business'!$B$315</definedName>
    <definedName name="BB_14">'Better Business'!$B$316</definedName>
    <definedName name="BB_15">'Better Business'!$B$317</definedName>
    <definedName name="BB_16">'Better Business'!$B$318</definedName>
    <definedName name="BB_17">'Better Business'!$B$319</definedName>
    <definedName name="BB_18">'Better Business'!$B$320</definedName>
    <definedName name="BB_19">'Better Business'!$B$321</definedName>
    <definedName name="BB_20">'Better Business'!$B$322</definedName>
    <definedName name="BB_21">'Better Business'!$B$323</definedName>
    <definedName name="BB_22">'Better Business'!$B$324</definedName>
    <definedName name="BC_01">'Better Communities'!$B$25</definedName>
    <definedName name="BP_01">'Better Planet'!$B$374</definedName>
    <definedName name="BP_02">'Better Planet'!$B$375</definedName>
    <definedName name="BP_03">'Better Planet'!$B$376</definedName>
    <definedName name="BP_04">'Better Planet'!$B$377</definedName>
    <definedName name="BP_05">'Better Planet'!$B$378</definedName>
    <definedName name="BP_06">'Better Planet'!$B$379</definedName>
    <definedName name="BP_07">'Better Planet'!$B$380</definedName>
    <definedName name="BP_08">'Better Planet'!$B$381</definedName>
    <definedName name="BP_09">'Better Planet'!$B$382</definedName>
    <definedName name="BP_10">'Better Planet'!$B$383</definedName>
    <definedName name="BP_11">'Better Planet'!$B$384</definedName>
    <definedName name="BP_12">'Better Planet'!$B$385</definedName>
    <definedName name="BP_13">'Better Planet'!$B$386</definedName>
    <definedName name="BP_14">'Better Planet'!$B$387</definedName>
    <definedName name="BP_15">'Better Planet'!$B$389</definedName>
    <definedName name="BP_16">'Better Planet'!$B$390</definedName>
    <definedName name="BP_17">'Better Planet'!$B$391</definedName>
    <definedName name="BP_18">'Better Planet'!$B$392</definedName>
    <definedName name="BP_19">'Better Planet'!$B$393</definedName>
    <definedName name="BP_20">'Better Planet'!$B$394</definedName>
    <definedName name="BP_21">'Better Planet'!$B$395</definedName>
    <definedName name="BP_22">'Better Planet'!$B$396</definedName>
    <definedName name="BP_23">'Better Planet'!$B$397</definedName>
    <definedName name="_xlnm.Print_Area" localSheetId="1">'Better Business'!$A$1:$L$326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5" i="1" l="1"/>
  <c r="C89" i="1"/>
  <c r="C369" i="1" l="1"/>
  <c r="D13" i="3"/>
  <c r="D14" i="3"/>
  <c r="D17" i="2"/>
  <c r="I21" i="2"/>
  <c r="G21" i="2"/>
  <c r="H23" i="2"/>
  <c r="H22" i="2"/>
  <c r="D23" i="2"/>
  <c r="D22" i="2"/>
  <c r="C187" i="2"/>
  <c r="C186" i="2"/>
  <c r="C185" i="2"/>
  <c r="C195" i="2"/>
  <c r="C194" i="2"/>
  <c r="C193" i="2"/>
  <c r="C180" i="2"/>
  <c r="C179" i="2"/>
  <c r="C178" i="2"/>
  <c r="F43" i="1"/>
  <c r="E43" i="1"/>
  <c r="D43" i="1"/>
  <c r="C17" i="1"/>
  <c r="C234" i="1"/>
  <c r="C233" i="1"/>
  <c r="C232" i="1"/>
  <c r="C230" i="1"/>
  <c r="I173" i="1"/>
  <c r="I171" i="1"/>
  <c r="G172" i="1"/>
  <c r="G173" i="1"/>
  <c r="G171" i="1"/>
  <c r="H171" i="1"/>
  <c r="F173" i="1"/>
  <c r="F172" i="1"/>
  <c r="F171" i="1"/>
  <c r="D172" i="1"/>
  <c r="E172" i="1"/>
  <c r="E173" i="1"/>
  <c r="E171" i="1"/>
  <c r="D173" i="1"/>
  <c r="D171" i="1"/>
  <c r="C155" i="1"/>
  <c r="C145" i="1"/>
  <c r="C156" i="1"/>
  <c r="E366" i="1"/>
  <c r="D366" i="1"/>
  <c r="E331" i="1"/>
  <c r="E282" i="1"/>
  <c r="D282" i="1"/>
  <c r="I183" i="1"/>
  <c r="H183" i="1"/>
  <c r="G27" i="2"/>
  <c r="E13" i="3"/>
  <c r="E14" i="3"/>
  <c r="D98" i="1"/>
  <c r="D88" i="1"/>
  <c r="D367" i="1"/>
  <c r="D369" i="1"/>
  <c r="J333" i="1"/>
  <c r="C333" i="1"/>
  <c r="D333" i="1"/>
  <c r="E333" i="1"/>
  <c r="F333" i="1"/>
  <c r="G333" i="1"/>
  <c r="H333" i="1"/>
  <c r="I333" i="1"/>
  <c r="I331" i="1"/>
  <c r="I330" i="1"/>
  <c r="I329" i="1"/>
  <c r="F279" i="1"/>
  <c r="E279" i="1"/>
  <c r="D279" i="1"/>
  <c r="D249" i="1"/>
  <c r="E249" i="1"/>
  <c r="D248" i="1"/>
  <c r="E248" i="1"/>
  <c r="D247" i="1"/>
  <c r="E247" i="1"/>
  <c r="D246" i="1"/>
  <c r="E246" i="1"/>
  <c r="D245" i="1"/>
  <c r="E245" i="1"/>
  <c r="F183" i="1"/>
  <c r="E183" i="1"/>
  <c r="D183" i="1"/>
  <c r="H182" i="1"/>
  <c r="F182" i="1"/>
  <c r="E182" i="1"/>
  <c r="D182" i="1"/>
  <c r="H181" i="1"/>
  <c r="F181" i="1"/>
  <c r="E181" i="1"/>
  <c r="D181" i="1"/>
  <c r="H180" i="1"/>
  <c r="F180" i="1"/>
  <c r="E180" i="1"/>
  <c r="D180" i="1"/>
  <c r="H179" i="1"/>
  <c r="F179" i="1"/>
  <c r="E179" i="1"/>
  <c r="D179" i="1"/>
  <c r="I178" i="1"/>
  <c r="H178" i="1"/>
  <c r="G178" i="1"/>
  <c r="F178" i="1"/>
  <c r="E178" i="1"/>
  <c r="D178" i="1"/>
  <c r="I177" i="1"/>
  <c r="H177" i="1"/>
  <c r="G177" i="1"/>
  <c r="F177" i="1"/>
  <c r="E177" i="1"/>
  <c r="D177" i="1"/>
  <c r="D147" i="1"/>
  <c r="D146" i="1"/>
  <c r="D145" i="1"/>
  <c r="D144" i="1"/>
  <c r="D133" i="1"/>
  <c r="D135" i="1"/>
  <c r="D125" i="1"/>
  <c r="D126" i="1"/>
  <c r="D127" i="1"/>
  <c r="D116" i="1"/>
  <c r="D117" i="1"/>
  <c r="D118" i="1"/>
  <c r="D119" i="1"/>
  <c r="D107" i="1"/>
  <c r="D108" i="1"/>
  <c r="D110" i="1"/>
  <c r="D99" i="1"/>
  <c r="D87" i="1"/>
  <c r="D89" i="1"/>
  <c r="F47" i="1"/>
  <c r="E47" i="1"/>
  <c r="D47" i="1"/>
  <c r="D17" i="1"/>
  <c r="F14" i="3"/>
  <c r="D195" i="2"/>
  <c r="D194" i="2"/>
  <c r="D193" i="2"/>
  <c r="D180" i="2"/>
  <c r="D179" i="2"/>
  <c r="D178" i="2"/>
  <c r="E367" i="1"/>
  <c r="E369" i="1"/>
  <c r="I351" i="1"/>
  <c r="C349" i="1"/>
  <c r="D349" i="1"/>
  <c r="I349" i="1"/>
  <c r="J344" i="1"/>
  <c r="C344" i="1"/>
  <c r="D344" i="1"/>
  <c r="E344" i="1"/>
  <c r="F344" i="1"/>
  <c r="G344" i="1"/>
  <c r="H344" i="1"/>
  <c r="I344" i="1"/>
  <c r="I343" i="1"/>
  <c r="I342" i="1"/>
  <c r="I341" i="1"/>
  <c r="J339" i="1"/>
  <c r="C339" i="1"/>
  <c r="D339" i="1"/>
  <c r="E339" i="1"/>
  <c r="F339" i="1"/>
  <c r="G339" i="1"/>
  <c r="H339" i="1"/>
  <c r="I339" i="1"/>
  <c r="I338" i="1"/>
  <c r="I337" i="1"/>
  <c r="I336" i="1"/>
  <c r="I335" i="1"/>
  <c r="F291" i="1"/>
  <c r="D291" i="1"/>
  <c r="E261" i="1"/>
  <c r="E254" i="1"/>
  <c r="E260" i="1" s="1"/>
  <c r="D260" i="1"/>
  <c r="E259" i="1"/>
  <c r="E257" i="1"/>
  <c r="E255" i="1"/>
  <c r="E251" i="1"/>
  <c r="E252" i="1"/>
  <c r="E253" i="1"/>
  <c r="D250" i="1"/>
  <c r="I193" i="1"/>
  <c r="H193" i="1"/>
  <c r="G193" i="1"/>
  <c r="F193" i="1"/>
  <c r="E193" i="1"/>
  <c r="D193" i="1"/>
  <c r="G154" i="1"/>
  <c r="F154" i="1"/>
  <c r="H144" i="1"/>
  <c r="G144" i="1"/>
  <c r="F144" i="1"/>
  <c r="F99" i="1"/>
  <c r="F89" i="1"/>
  <c r="F33" i="1"/>
  <c r="E33" i="1"/>
  <c r="D33" i="1"/>
  <c r="F32" i="1"/>
  <c r="E32" i="1"/>
  <c r="D32" i="1"/>
  <c r="F31" i="1"/>
  <c r="E31" i="1"/>
  <c r="D31" i="1"/>
  <c r="F30" i="1"/>
  <c r="E30" i="1"/>
  <c r="D30" i="1"/>
  <c r="I14" i="3"/>
  <c r="H14" i="3"/>
  <c r="G14" i="3"/>
  <c r="F61" i="2"/>
  <c r="F62" i="2"/>
  <c r="E178" i="2"/>
  <c r="E179" i="2"/>
  <c r="E180" i="2"/>
  <c r="E185" i="2"/>
  <c r="E186" i="2"/>
  <c r="E187" i="2"/>
  <c r="E193" i="2"/>
  <c r="E194" i="2"/>
  <c r="E195" i="2"/>
  <c r="E250" i="1" l="1"/>
  <c r="E256" i="1"/>
</calcChain>
</file>

<file path=xl/sharedStrings.xml><?xml version="1.0" encoding="utf-8"?>
<sst xmlns="http://schemas.openxmlformats.org/spreadsheetml/2006/main" count="1257" uniqueCount="398">
  <si>
    <t>Brambles Sustainability information</t>
  </si>
  <si>
    <t>Updated: August 2018</t>
  </si>
  <si>
    <t>Better Business</t>
  </si>
  <si>
    <t xml:space="preserve">For further information on performance, please refer to the appropriate Sustainability Review. </t>
  </si>
  <si>
    <t xml:space="preserve">Sharing and reusing model performance </t>
  </si>
  <si>
    <t>Environmental benefits delivered in customers' supply chains [15]</t>
  </si>
  <si>
    <t>Group</t>
  </si>
  <si>
    <t>FY18</t>
  </si>
  <si>
    <t>FY17</t>
  </si>
  <si>
    <t>FY16 [22]</t>
  </si>
  <si>
    <t>FY15</t>
  </si>
  <si>
    <t>CO2-e saved (tonnes)</t>
  </si>
  <si>
    <t>Number of trees saved</t>
  </si>
  <si>
    <t>Waste eliminated from landfill (tonnes)</t>
  </si>
  <si>
    <t>Food waste eliminated (tonnes)</t>
  </si>
  <si>
    <t>Water saved (megalitres)</t>
  </si>
  <si>
    <t>CO2-e offset (tonnes) [19]</t>
  </si>
  <si>
    <t>CO2-e offset (tonnes) - carbon neutral products [19]</t>
  </si>
  <si>
    <t>Wooden pallets</t>
  </si>
  <si>
    <t>-</t>
  </si>
  <si>
    <t>RPCs</t>
  </si>
  <si>
    <t>Transport collaboration/multimodal programs</t>
  </si>
  <si>
    <t>Foodbank collaboration</t>
  </si>
  <si>
    <t>Customer feedback</t>
  </si>
  <si>
    <t>Global insights relationship survey</t>
  </si>
  <si>
    <t>FY18 [25]</t>
  </si>
  <si>
    <t>FY16</t>
  </si>
  <si>
    <t>FY14</t>
  </si>
  <si>
    <t>FY13</t>
  </si>
  <si>
    <t>Individual contacts</t>
  </si>
  <si>
    <t>2365</t>
  </si>
  <si>
    <t>+9,800</t>
  </si>
  <si>
    <t>+9,300</t>
  </si>
  <si>
    <t>+8,500</t>
  </si>
  <si>
    <t>+7,200</t>
  </si>
  <si>
    <t>+6,600</t>
  </si>
  <si>
    <t>Number of companies represented</t>
  </si>
  <si>
    <t>1467</t>
  </si>
  <si>
    <t>+5,100</t>
  </si>
  <si>
    <t>+3,700</t>
  </si>
  <si>
    <t>+3,500</t>
  </si>
  <si>
    <t>+3,300</t>
  </si>
  <si>
    <t xml:space="preserve">People performance </t>
  </si>
  <si>
    <t>Employee stats [12]</t>
  </si>
  <si>
    <t>Number of employees</t>
  </si>
  <si>
    <t>Pallets Americas</t>
  </si>
  <si>
    <t>Pallets EMEA</t>
  </si>
  <si>
    <t>Pallets Asia-Pacific</t>
  </si>
  <si>
    <t>Corporate</t>
  </si>
  <si>
    <t>Containers</t>
  </si>
  <si>
    <t>Corporate [16]</t>
  </si>
  <si>
    <t>Recall [3]</t>
  </si>
  <si>
    <t>N/A</t>
  </si>
  <si>
    <t>Brambles HQ</t>
  </si>
  <si>
    <t>Permanent employees by gender (total) (% male/female)</t>
  </si>
  <si>
    <t>77.0 / 23.0</t>
  </si>
  <si>
    <t>79.7 / 20.3</t>
  </si>
  <si>
    <t>80.2/19.8</t>
  </si>
  <si>
    <t>80.9/19.1</t>
  </si>
  <si>
    <t>82.6/17.6</t>
  </si>
  <si>
    <t>76.8/23.2</t>
  </si>
  <si>
    <t>85.5 / 14.5</t>
  </si>
  <si>
    <t>89 / 11</t>
  </si>
  <si>
    <t>81.0/19.0</t>
  </si>
  <si>
    <t>90.7/9.3</t>
  </si>
  <si>
    <t>90.1/9.9</t>
  </si>
  <si>
    <t>89.1/10.9</t>
  </si>
  <si>
    <t>73.5 / 26.5</t>
  </si>
  <si>
    <t>72.8 /27.2</t>
  </si>
  <si>
    <t>70.2/29.8</t>
  </si>
  <si>
    <t>73.4/26.6</t>
  </si>
  <si>
    <t>73.2/26.8</t>
  </si>
  <si>
    <t>70.4/29.6</t>
  </si>
  <si>
    <t>81.6 / 18.4</t>
  </si>
  <si>
    <t>82.2 / 17.8</t>
  </si>
  <si>
    <t>82.9/17.1</t>
  </si>
  <si>
    <t>81.8/18.2</t>
  </si>
  <si>
    <t>82.8/17.2</t>
  </si>
  <si>
    <t>83.7/16.3</t>
  </si>
  <si>
    <t>71.6 / 28.4</t>
  </si>
  <si>
    <t>72.3 / 27.7</t>
  </si>
  <si>
    <t>73.7/26.3</t>
  </si>
  <si>
    <t>72.7/27.3</t>
  </si>
  <si>
    <t>71.0/29.0</t>
  </si>
  <si>
    <t>67.1/32.9</t>
  </si>
  <si>
    <t>55.5 / 44.5</t>
  </si>
  <si>
    <t>56.5 / 43.5</t>
  </si>
  <si>
    <t>75.0/25.0</t>
  </si>
  <si>
    <t>75.6/24.4</t>
  </si>
  <si>
    <t>81.1/18.9</t>
  </si>
  <si>
    <t>76.0/24.0</t>
  </si>
  <si>
    <t>57.0/43.0</t>
  </si>
  <si>
    <t>53.8/46.2</t>
  </si>
  <si>
    <t>Recall</t>
  </si>
  <si>
    <t>66.7/33.3</t>
  </si>
  <si>
    <t>63.8/36.2</t>
  </si>
  <si>
    <t>66.2/33.8</t>
  </si>
  <si>
    <t>Permanent employees by gender (management positions) as at 30 June (% male/female)</t>
  </si>
  <si>
    <t>71.9 / 28.1</t>
  </si>
  <si>
    <t>73.9 / 26.1</t>
  </si>
  <si>
    <t>75.4/24.6</t>
  </si>
  <si>
    <t>75.7/24.3</t>
  </si>
  <si>
    <t>74.9/25.1</t>
  </si>
  <si>
    <t>76.9 / 23.1</t>
  </si>
  <si>
    <t>80.2 / 19.8</t>
  </si>
  <si>
    <t>89.8/10.2</t>
  </si>
  <si>
    <t>82.7/17.3</t>
  </si>
  <si>
    <t>80.4/16.6</t>
  </si>
  <si>
    <t>79.5/20.5</t>
  </si>
  <si>
    <t>71.8 / 28.2</t>
  </si>
  <si>
    <t>71.1 / 28.9</t>
  </si>
  <si>
    <t>73.0/27.0</t>
  </si>
  <si>
    <t>70.7/29.3</t>
  </si>
  <si>
    <t>67.3/32.7</t>
  </si>
  <si>
    <t>68.9/31/1</t>
  </si>
  <si>
    <t>71.5 / 28.5</t>
  </si>
  <si>
    <t>76.4 / 23.6</t>
  </si>
  <si>
    <t>78.1/21.9</t>
  </si>
  <si>
    <t>82.4/17.6</t>
  </si>
  <si>
    <t>78.4/21.6</t>
  </si>
  <si>
    <t>79.2/20.8</t>
  </si>
  <si>
    <t>70.7 / 29.3</t>
  </si>
  <si>
    <t>72.5 / 27.5</t>
  </si>
  <si>
    <t>72.1/27.9</t>
  </si>
  <si>
    <t>77.4/22.6</t>
  </si>
  <si>
    <t>80.0/20.0</t>
  </si>
  <si>
    <t>66.6 / 33.4</t>
  </si>
  <si>
    <t>68.4 / 31.6</t>
  </si>
  <si>
    <t>77.9/22.1</t>
  </si>
  <si>
    <t>78.6/21.4</t>
  </si>
  <si>
    <t>77.6/22.4</t>
  </si>
  <si>
    <t>69.2/30.8</t>
  </si>
  <si>
    <t>66.4/33.6</t>
  </si>
  <si>
    <t>69.1/30.9</t>
  </si>
  <si>
    <t>74.0/26.0</t>
  </si>
  <si>
    <t>Office v Plant ratio (permanent employees) (%)</t>
  </si>
  <si>
    <t>Office Based</t>
  </si>
  <si>
    <t>Plant Based</t>
  </si>
  <si>
    <t>Male</t>
  </si>
  <si>
    <t>Female</t>
  </si>
  <si>
    <t>Employees by employment contract (%)</t>
  </si>
  <si>
    <t>Permanent</t>
  </si>
  <si>
    <t>Temporary</t>
  </si>
  <si>
    <t>Employees by employment type (%)</t>
  </si>
  <si>
    <t>Full-time</t>
  </si>
  <si>
    <t>Part-time</t>
  </si>
  <si>
    <t>Age distribution of permanent employees (%)</t>
  </si>
  <si>
    <t>Year</t>
  </si>
  <si>
    <t>&lt;30</t>
  </si>
  <si>
    <t>30-&lt;35</t>
  </si>
  <si>
    <t>35-&lt;45</t>
  </si>
  <si>
    <t>45-&lt;55</t>
  </si>
  <si>
    <t>55-&lt;65</t>
  </si>
  <si>
    <t>&gt;65</t>
  </si>
  <si>
    <t>Pallets Amercias</t>
  </si>
  <si>
    <t>&lt;25</t>
  </si>
  <si>
    <t>25-&lt;35</t>
  </si>
  <si>
    <t xml:space="preserve">Male: female salary ratios </t>
  </si>
  <si>
    <t>0.87 : 1</t>
  </si>
  <si>
    <t>0.86 : 1</t>
  </si>
  <si>
    <t>0.91: 1.00</t>
  </si>
  <si>
    <t>0.87: 1.00</t>
  </si>
  <si>
    <t>0.87: 1.00 [11]</t>
  </si>
  <si>
    <t>0.97: 1:00</t>
  </si>
  <si>
    <t>Non-management</t>
  </si>
  <si>
    <t>0.84 : 1</t>
  </si>
  <si>
    <t>0.83: 1</t>
  </si>
  <si>
    <t>0.89: 1.00</t>
  </si>
  <si>
    <t>0.83: 1.00</t>
  </si>
  <si>
    <t>0.95: 1:00</t>
  </si>
  <si>
    <t>Management</t>
  </si>
  <si>
    <t>1.10 : 1</t>
  </si>
  <si>
    <t>1.13: 1</t>
  </si>
  <si>
    <t>1.16: 1.00</t>
  </si>
  <si>
    <t>1.15: 1.00</t>
  </si>
  <si>
    <t>1.10: 1.00 [11]</t>
  </si>
  <si>
    <t>1.07: 1.00</t>
  </si>
  <si>
    <t>Group employees taking parental leave during the Year (%)</t>
  </si>
  <si>
    <t>FY15 [17]</t>
  </si>
  <si>
    <t>Group employees returning from parental leave during the Year as a percentage of those who took parental leave (%)</t>
  </si>
  <si>
    <t>Group employees returning to work after parental leave during the Year (%)</t>
  </si>
  <si>
    <t>Voluntary turnover of employees (%)</t>
  </si>
  <si>
    <t>Corporate [1]</t>
  </si>
  <si>
    <t>Total number of employee hires</t>
  </si>
  <si>
    <t>FY16 [21]</t>
  </si>
  <si>
    <t>Employee hires by gender (%)</t>
  </si>
  <si>
    <t>Employee hires by age group (%)</t>
  </si>
  <si>
    <t>Engagement [5]</t>
  </si>
  <si>
    <t>FY18 [24]</t>
  </si>
  <si>
    <t>Brambles Engagement Survey participation</t>
  </si>
  <si>
    <t>Percentage of “fully engaged” employees</t>
  </si>
  <si>
    <t>Percentage of “enabled” employees (measure of supportiveness of organisational environment)</t>
  </si>
  <si>
    <t>Not reported prior to FY14</t>
  </si>
  <si>
    <t>Brambles Injury Frequency Rate (BIFR)</t>
  </si>
  <si>
    <t>Brambles Injury Frequency Rate</t>
  </si>
  <si>
    <t>4.7 events per million hours worked</t>
  </si>
  <si>
    <t>6.6 events per million hours worked</t>
  </si>
  <si>
    <t>9.7 events per million hours worked</t>
  </si>
  <si>
    <t>13.3 events per million hours worked</t>
  </si>
  <si>
    <t>15.6 events per million hours worked</t>
  </si>
  <si>
    <t>14.9 events per million hours worked</t>
  </si>
  <si>
    <t>BIFR by gender</t>
  </si>
  <si>
    <t>FY15 [13]</t>
  </si>
  <si>
    <t>BIFR by segment</t>
  </si>
  <si>
    <t>Pallets - Americas</t>
  </si>
  <si>
    <t>Pallets - EMEA</t>
  </si>
  <si>
    <t>Pallets - Asia-Pacific</t>
  </si>
  <si>
    <t>Pallets [8]</t>
  </si>
  <si>
    <t>Containers[9]</t>
  </si>
  <si>
    <t>Education, Training and Development</t>
  </si>
  <si>
    <t>Education, training and development days</t>
  </si>
  <si>
    <t>FY12</t>
  </si>
  <si>
    <t xml:space="preserve">Education, training and development </t>
  </si>
  <si>
    <t>12,667.07
days</t>
  </si>
  <si>
    <t>19,702.47
days</t>
  </si>
  <si>
    <t>19,578 days</t>
  </si>
  <si>
    <t>23,800 days</t>
  </si>
  <si>
    <t>16,833 days</t>
  </si>
  <si>
    <t>50,079 days</t>
  </si>
  <si>
    <t>32,415 days</t>
  </si>
  <si>
    <t>Per employee</t>
  </si>
  <si>
    <t>Per male employee</t>
  </si>
  <si>
    <t>Per female employee</t>
  </si>
  <si>
    <t>Per non-mgt employee</t>
  </si>
  <si>
    <t>Per mgt employee</t>
  </si>
  <si>
    <r>
      <t xml:space="preserve">FY17 </t>
    </r>
    <r>
      <rPr>
        <b/>
        <sz val="8"/>
        <color indexed="8"/>
        <rFont val="Segoe UI"/>
        <family val="2"/>
      </rPr>
      <t>[23]</t>
    </r>
  </si>
  <si>
    <t>FY15 [18]</t>
  </si>
  <si>
    <t>NR</t>
  </si>
  <si>
    <t>FY14 [10]</t>
  </si>
  <si>
    <t>[1] Includes Containers Aerospace, Oil &amp; Gas and LeanLogistics</t>
  </si>
  <si>
    <t>[2] IFCO was acquired in FY11 and integrated into the new organisation structure in FY12.</t>
  </si>
  <si>
    <t>[3] Recall was demerged in December 2013</t>
  </si>
  <si>
    <t>[5] Please note: all figures exclude Recall to enable comparison.</t>
  </si>
  <si>
    <t>[8] For the purposes of safety reporting the Pallets segment includes the CHEP RPCs and Containers operations in Asia-Pacific and South Africa.</t>
  </si>
  <si>
    <t>[9] For the purposes of safety reporting, the Containers segment includes the CHEP Automotive &amp; Industrial Solutions operations in Europe and the Americas, CAPS, CHEP Aerospace Solutions and the CHEP Catalyst &amp; Chemical Containers business.</t>
  </si>
  <si>
    <t>[10] For FY14, the education, training and development days data was not broken down as the business began transitioning to the HR system (Workday) during the Year.</t>
  </si>
  <si>
    <t>[11] Male: female salary ratios for management and non-management in FY14 were transposed when reported and have been restated here</t>
  </si>
  <si>
    <t>[12] From FY15, stats are based on a snapshot of employees as at 31 May; prior to FY15, stats were based on a snapshot of employees as at 30 June</t>
  </si>
  <si>
    <t>[13] BIFR by gender was collected for the first time for the second half of FY15.</t>
  </si>
  <si>
    <t>[14] Environmental benefits of customers' use of our pooled products was not reported prior to FY15.</t>
  </si>
  <si>
    <t>[15] Not reported prior to FY15. Calculated environmental benefits stated in this diagram are based on estimates from:
• our independent life cycle analyses (LCA), applied to volumes of the products and regions covered by these LCAs only; and
• internal data collection (for multimodal/collaborative transport programs and carbon neutral products).
These represent a conservative estimate of the global environmental benefits of our pooled products for the Year. Further information is provided in our
supplementary information document, available on our website.</t>
  </si>
  <si>
    <t>[16] In FY15, Brambles reclassified finance and IT employees into Corporate to reflect the global nature of those functions. Therefore, the reference to HQ has been updated to Corporate.</t>
  </si>
  <si>
    <t>[17] In FY13, Brambles determined that approximately 80% of employees were entitled to parental leave. In FY17, we will update the percentage of employees entitled to parental leave.</t>
  </si>
  <si>
    <t>[18] In FY15, breakdown of ETD by gender and mgt/non-mgt is not provided as not all regions reported through the HR system Workday for the full financial year.</t>
  </si>
  <si>
    <t>[19] Please note: carbon offsets are purchased for a calendar year, while Brambles' sustainability reporting is done on a financial year basis. Therefore, the offsets purchased for calendar year 2015 are reported in FY16; for calendar year 2014 reported in FY15.</t>
  </si>
  <si>
    <t>[20] For FY15, voluntary turnover by gender is only provided for those countries on our HR system Workday and does not represent the entire Group.</t>
  </si>
  <si>
    <t>[21] Data collected for the first time in FY16, with all regions reporting via the HR system Workday.</t>
  </si>
  <si>
    <t>[22] 2016 LCA savings were re-calculated and restated using the 2017 report. The restatement was performed as the 2017 data was considered to be more accurate estimation of the 2016 performance and the restatement allows a more appropriate comparisons between the measurement periods. See the 2017 supplementary information document, p 5 for more details.</t>
  </si>
  <si>
    <t>[23] FY17 Training Days data restated following correction of data.</t>
  </si>
  <si>
    <t>[24] No BES survey undertaken in FY18</t>
  </si>
  <si>
    <t>[25] From January 2018 the program survey method has changed from an annual survey to a quarterly schedule.  Figures submitted represted only Q3 &amp; Q4 of FY18 and therefore cannot be compared to the figures from previous years’ surveys.</t>
  </si>
  <si>
    <t>Better Planet</t>
  </si>
  <si>
    <t>Natural Resources</t>
  </si>
  <si>
    <t>Wood purchased for manufacture and repair of pallets</t>
  </si>
  <si>
    <r>
      <t>Volume of wood (m</t>
    </r>
    <r>
      <rPr>
        <b/>
        <vertAlign val="superscript"/>
        <sz val="10"/>
        <color indexed="8"/>
        <rFont val="Segoe UI"/>
        <family val="2"/>
      </rPr>
      <t>3</t>
    </r>
    <r>
      <rPr>
        <b/>
        <sz val="10"/>
        <color indexed="8"/>
        <rFont val="Segoe UI"/>
        <family val="2"/>
      </rPr>
      <t>)</t>
    </r>
  </si>
  <si>
    <t>Total</t>
  </si>
  <si>
    <t>Volume of wood by classification and segment for the Year (%)</t>
  </si>
  <si>
    <t>Chain of custody (COC) certified</t>
  </si>
  <si>
    <t>Certified sources</t>
  </si>
  <si>
    <t>Policy compliant</t>
  </si>
  <si>
    <r>
      <t>Wood volume (m</t>
    </r>
    <r>
      <rPr>
        <b/>
        <vertAlign val="superscript"/>
        <sz val="10"/>
        <color indexed="8"/>
        <rFont val="Segoe UI"/>
        <family val="2"/>
      </rPr>
      <t>3</t>
    </r>
    <r>
      <rPr>
        <b/>
        <sz val="10"/>
        <color indexed="8"/>
        <rFont val="Segoe UI"/>
        <family val="2"/>
      </rPr>
      <t>) by forest source certification</t>
    </r>
  </si>
  <si>
    <t>Chain of custody (COC) certification</t>
  </si>
  <si>
    <t>Certified source wood (not including COC)</t>
  </si>
  <si>
    <t>Policy compliant wood</t>
  </si>
  <si>
    <t>Wood volume by continent of origin (%)</t>
  </si>
  <si>
    <t>Europe</t>
  </si>
  <si>
    <t>Australia/ New Zealand</t>
  </si>
  <si>
    <t>South America</t>
  </si>
  <si>
    <t>Africa</t>
  </si>
  <si>
    <t>North America</t>
  </si>
  <si>
    <t>Asia</t>
  </si>
  <si>
    <t>Plastic purchased for manufacture of RPCs</t>
  </si>
  <si>
    <t>Volume of plastic (tonnes)</t>
  </si>
  <si>
    <t>IFCO</t>
  </si>
  <si>
    <t>Pallets</t>
  </si>
  <si>
    <t>CHEP</t>
  </si>
  <si>
    <t>RPCs Total</t>
  </si>
  <si>
    <t>Detergent purchased for washing of pallets, RPCs and containers</t>
  </si>
  <si>
    <t>Volume of detergent (litres)</t>
  </si>
  <si>
    <t>Water</t>
  </si>
  <si>
    <t>Water consumed (megalitres) [15]</t>
  </si>
  <si>
    <t>545.66 [21]</t>
  </si>
  <si>
    <t>Water recycled (megalitres)</t>
  </si>
  <si>
    <t>Water discharged (megalitres) [16]</t>
  </si>
  <si>
    <t>Rainwater harvested (megalitres) [16]</t>
  </si>
  <si>
    <t>Energy and Emissions</t>
  </si>
  <si>
    <t>Kilotonnes (kt) of CO2-e [4] (Scope 1 and 2)</t>
  </si>
  <si>
    <r>
      <t xml:space="preserve">FY15 
</t>
    </r>
    <r>
      <rPr>
        <b/>
        <sz val="8"/>
        <rFont val="Segoe UI"/>
        <family val="2"/>
      </rPr>
      <t>revised for target baseline</t>
    </r>
  </si>
  <si>
    <t>FY15 reported</t>
  </si>
  <si>
    <t>FY13 [5]</t>
  </si>
  <si>
    <t>155.60 [18]</t>
  </si>
  <si>
    <t xml:space="preserve">Pallets </t>
  </si>
  <si>
    <t>126.62 [6]</t>
  </si>
  <si>
    <t xml:space="preserve">RPCs </t>
  </si>
  <si>
    <t>5.87 [18]</t>
  </si>
  <si>
    <t>Terajoules (TJ) of energy (Scope 1 and 2)</t>
  </si>
  <si>
    <t>FY15 revised for target baseline</t>
  </si>
  <si>
    <t>FY13[7]</t>
  </si>
  <si>
    <t>1,207.95 [18]</t>
  </si>
  <si>
    <t>64.77 [18]</t>
  </si>
  <si>
    <t>Emissions intensity (kg per unit)</t>
  </si>
  <si>
    <t xml:space="preserve">FY16 </t>
  </si>
  <si>
    <t>0.21 [23]</t>
  </si>
  <si>
    <t>0.16 [14]</t>
  </si>
  <si>
    <t>*Emissions measured on a like 4 like basis for ongoing operations</t>
  </si>
  <si>
    <t>Greenhouse gas (GHG) emissions (detail)</t>
  </si>
  <si>
    <t>Scope 1</t>
  </si>
  <si>
    <t>Scope 2</t>
  </si>
  <si>
    <t>kt CO2-e</t>
  </si>
  <si>
    <t>TJ</t>
  </si>
  <si>
    <t>Pallets (total)</t>
  </si>
  <si>
    <t xml:space="preserve">Pallets EMEA </t>
  </si>
  <si>
    <t>revised for target baseline</t>
  </si>
  <si>
    <t>74.03 [18]</t>
  </si>
  <si>
    <t xml:space="preserve">Pallets Americas [11] </t>
  </si>
  <si>
    <t>Pallets Asia-Pacific [12]</t>
  </si>
  <si>
    <t>Containers [18]</t>
  </si>
  <si>
    <t>Pallets Americas [13]</t>
  </si>
  <si>
    <t>GHG generation by source (%)</t>
  </si>
  <si>
    <t>FY15 revised</t>
  </si>
  <si>
    <t xml:space="preserve">Electricity </t>
  </si>
  <si>
    <t xml:space="preserve">Diesel fuel </t>
  </si>
  <si>
    <t xml:space="preserve">Natural gas </t>
  </si>
  <si>
    <t xml:space="preserve">LPG/Propane </t>
  </si>
  <si>
    <t>Motor gasoline/Petrol</t>
  </si>
  <si>
    <t xml:space="preserve">Other </t>
  </si>
  <si>
    <t>Greenhouse gas (GHG) emissions (Scope 3)</t>
  </si>
  <si>
    <t>Scope 3</t>
  </si>
  <si>
    <t>Pallets – outsourced service centres [8]</t>
  </si>
  <si>
    <t xml:space="preserve">Pallets – transport </t>
  </si>
  <si>
    <t>RPCs - outsourced service centres</t>
  </si>
  <si>
    <t>RPCs - transport</t>
  </si>
  <si>
    <t>Containers - outsourced service centres</t>
  </si>
  <si>
    <t>RPCs - transport [22]</t>
  </si>
  <si>
    <t>536.81 [17]</t>
  </si>
  <si>
    <t>416.95 [9]</t>
  </si>
  <si>
    <t>Waste and recycling</t>
  </si>
  <si>
    <t>General waste, recycling and hazardous waste (metric tonnes)</t>
  </si>
  <si>
    <t>General waste</t>
  </si>
  <si>
    <t>Recycling</t>
  </si>
  <si>
    <t>Hazardous waste</t>
  </si>
  <si>
    <t xml:space="preserve">Scope based on emissions, so therefor 5% added </t>
  </si>
  <si>
    <t>For breakdown data, 5% is added from what is reported in the Walter s/ss (already included in totals from those s/ss)</t>
  </si>
  <si>
    <t>Wood reclaimed (Pallets) (metric tonnes)</t>
  </si>
  <si>
    <t>Reused in repair and manufacture of pallets - own sites</t>
  </si>
  <si>
    <t>4,472 [19]</t>
  </si>
  <si>
    <t>43,108+</t>
  </si>
  <si>
    <t>Reused in repair and manufacture of pallets - OSCs</t>
  </si>
  <si>
    <t>13,292+</t>
  </si>
  <si>
    <t>11,205+</t>
  </si>
  <si>
    <t>Reused in other ways (fuel and recycled - see below) - own sites</t>
  </si>
  <si>
    <t>Brambles’ recycling efforts (excluding reclaimed) (metric tonnes)</t>
  </si>
  <si>
    <t>Wood (Fuel)</t>
  </si>
  <si>
    <t>Wood (Recycled)</t>
  </si>
  <si>
    <t>Paper and Corrugate</t>
  </si>
  <si>
    <t>Comingled</t>
  </si>
  <si>
    <t>Plastic</t>
  </si>
  <si>
    <t>Metal</t>
  </si>
  <si>
    <t>General (power generation)</t>
  </si>
  <si>
    <t>FY13 [1]</t>
  </si>
  <si>
    <t>47,274 [2]</t>
  </si>
  <si>
    <t>Total [3]</t>
  </si>
  <si>
    <t>Plastic recovered and reused in manufacture of RPCs</t>
  </si>
  <si>
    <t xml:space="preserve">[1] Excludes most of the Containers businesses, the pallet businesses of IFCO PMS and Paramount Pallet as well as very small CHEP pallet sites and offices. </t>
  </si>
  <si>
    <t>[2] Wood numbers incorrect for FY13 and updated in this document.  Previously reported as 187,950.</t>
  </si>
  <si>
    <t>[3] Updated with actual data. Previously reported included a number of extrapolations</t>
  </si>
  <si>
    <t xml:space="preserve">[4] Carbon dioxide equivalent (CO2-e) is the universal unit of measurement to indicate the full global warming potential (GWP) of a particular greenhouse gas emission. It takes into account the GWP of each of the six Kyoto greenhouse gases, and expresses </t>
  </si>
  <si>
    <t>[5] Excludes Containers businesses with the exception of CHEP Automotive and CCC, as well as very small CHEP Pallet sites and offices. Has been updated with actual data in FY14.</t>
  </si>
  <si>
    <t>[6] Includes CHEP, IFCO PMS, Lean Logistics and Paramount. Previous years included only CHEP</t>
  </si>
  <si>
    <t>[7] Has been updated with actual data in FY14</t>
  </si>
  <si>
    <t>[8] Estimate of CO2-e generated/energy used by leased and outsourced service centre sites that inspect and repair CHEP pallets.</t>
  </si>
  <si>
    <t>[9] Estimate of CO2-e generated/energy used by subcontracted transport carriers that move CHEP pallets through the network.</t>
  </si>
  <si>
    <t>[10] Includes sites that handle and condition CHEP RPCs and Containers. Retained to provide like-for-like comparatives to CHEP’s reported energy and emissions in FY11. In FY13, sites will be extracted and included in RPCs and Containers segments.</t>
  </si>
  <si>
    <t>[11] Includes CHEP, IFCO PMS, Lean Logistics &amp; Paramount</t>
  </si>
  <si>
    <t>[12] Includes CHEP pallet sites only. CHEP ANZ RPC sites captured in RPCs</t>
  </si>
  <si>
    <t>[13] Excludes IFCO PMS and Paramount Pallet sites, includes CCC sites.</t>
  </si>
  <si>
    <t>[14] kg per C-Gen: ‘C-gen’ stands for C generation stock. ‘A’ generation stock is stock awaiting inspection, ‘B’ generation stock is that which is waiting to be conditioned or repaired and ‘C’ generation (C-gen) stock has been conditioned and is ready for a customer.</t>
  </si>
  <si>
    <t>C gen gives us an understanding of the number of products (pallets, crates, or containers) that have been conditioned at our sites, which is the productivity measure we use.</t>
  </si>
  <si>
    <t>[15] Water consumption was reported for the first time in FY14</t>
  </si>
  <si>
    <t>[16] Water discharge, recycling and rainwater harvesting were reported for the first time in FY15</t>
  </si>
  <si>
    <t>[17] Figure restated due to an error in reporting in FY14</t>
  </si>
  <si>
    <t>[18] Figures restated due to an error in LPG data recorded for a European country</t>
  </si>
  <si>
    <t>[19] Figure restated due to error in data entry at one site</t>
  </si>
  <si>
    <t>[20] Data from IFCO RPC only reported in FY15</t>
  </si>
  <si>
    <t>[21] Restated from 2015 Sustainability Review due to changes in reporting</t>
  </si>
  <si>
    <t>[22] RPC transport wasn't measured in FY15.  For FY16 reported we copied the FY16 figures to benchmark against in lieu of having a measurement.  I've copied the TJ and Tonnes CO2e from FY16 above.</t>
  </si>
  <si>
    <t>[23] Restated using production figure collection method applied in FY17.</t>
  </si>
  <si>
    <t>Better Communities</t>
  </si>
  <si>
    <t>Brambles community investment (US$)</t>
  </si>
  <si>
    <t>Gross Profit</t>
  </si>
  <si>
    <r>
      <t xml:space="preserve">% of pre-tax profit </t>
    </r>
    <r>
      <rPr>
        <b/>
        <vertAlign val="superscript"/>
        <sz val="10"/>
        <color theme="1"/>
        <rFont val="Segoe UI"/>
        <family val="2"/>
      </rPr>
      <t>[1]</t>
    </r>
  </si>
  <si>
    <t>Corporate donations and sponsorship</t>
  </si>
  <si>
    <t xml:space="preserve">In kind donations </t>
  </si>
  <si>
    <t>Volunteering</t>
  </si>
  <si>
    <t>Volunteering hours</t>
  </si>
  <si>
    <t>Total hours</t>
  </si>
  <si>
    <t>[1] Profit before tax (continuing operations) as reported in the Annual Report</t>
  </si>
  <si>
    <t>Updated: 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</si>
</sst>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  <numFmt numFmtId="168" formatCode="0.0"/>
    <numFmt numFmtId="169" formatCode="&quot;$&quot;#,##0"/>
    <numFmt numFmtId="170" formatCode="#,##0.0"/>
    <numFmt numFmtId="171" formatCode="_-[$$-409]* #,##0.00_ ;_-[$$-409]* \-#,##0.00\ ;_-[$$-409]* &quot;-&quot;??_ ;_-@_ "/>
    <numFmt numFmtId="172" formatCode="#,##0.000"/>
  </numFmts>
  <fonts count="5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sz val="10"/>
      <color indexed="8"/>
      <name val="Trebuchet MS"/>
      <family val="2"/>
    </font>
    <font>
      <b/>
      <sz val="10"/>
      <color indexed="8"/>
      <name val="Trebuchet MS"/>
      <family val="2"/>
    </font>
    <font>
      <b/>
      <sz val="10"/>
      <color indexed="9"/>
      <name val="Trebuchet MS"/>
      <family val="2"/>
    </font>
    <font>
      <sz val="8"/>
      <color indexed="55"/>
      <name val="Trebuchet MS"/>
      <family val="2"/>
    </font>
    <font>
      <u/>
      <sz val="12"/>
      <color theme="1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Cambria"/>
      <family val="1"/>
    </font>
    <font>
      <b/>
      <sz val="18"/>
      <color theme="1"/>
      <name val="Trebuchet MS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Segoe UI"/>
      <family val="2"/>
    </font>
    <font>
      <b/>
      <sz val="10"/>
      <color theme="1"/>
      <name val="Segoe UI"/>
      <family val="2"/>
    </font>
    <font>
      <u/>
      <sz val="12"/>
      <color indexed="12"/>
      <name val="Segoe UI Light"/>
      <family val="2"/>
    </font>
    <font>
      <b/>
      <sz val="20"/>
      <color rgb="FFFFC000"/>
      <name val="Segoe UI"/>
      <family val="2"/>
    </font>
    <font>
      <b/>
      <sz val="10"/>
      <name val="Segoe UI"/>
      <family val="2"/>
    </font>
    <font>
      <sz val="10"/>
      <color indexed="8"/>
      <name val="Segoe UI"/>
      <family val="2"/>
    </font>
    <font>
      <sz val="12"/>
      <color theme="1"/>
      <name val="Segoe UI"/>
      <family val="2"/>
    </font>
    <font>
      <b/>
      <sz val="10"/>
      <color indexed="8"/>
      <name val="Segoe UI"/>
      <family val="2"/>
    </font>
    <font>
      <b/>
      <sz val="10"/>
      <color indexed="9"/>
      <name val="Segoe UI"/>
      <family val="2"/>
    </font>
    <font>
      <sz val="10"/>
      <color theme="1"/>
      <name val="Segoe UI"/>
      <family val="2"/>
    </font>
    <font>
      <u/>
      <sz val="12"/>
      <color indexed="12"/>
      <name val="Segoe UI"/>
      <family val="2"/>
    </font>
    <font>
      <sz val="15"/>
      <color rgb="FF1D1D1D"/>
      <name val="Segoe UI"/>
      <family val="2"/>
    </font>
    <font>
      <b/>
      <sz val="8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32"/>
      <color rgb="FF0076AA"/>
      <name val="Segoe UI"/>
      <family val="2"/>
    </font>
    <font>
      <b/>
      <sz val="18"/>
      <color indexed="8"/>
      <name val="Segoe UI"/>
      <family val="2"/>
    </font>
    <font>
      <sz val="12"/>
      <color indexed="8"/>
      <name val="Segoe UI"/>
      <family val="2"/>
    </font>
    <font>
      <b/>
      <sz val="16"/>
      <color indexed="8"/>
      <name val="Segoe UI"/>
      <family val="2"/>
    </font>
    <font>
      <b/>
      <vertAlign val="superscript"/>
      <sz val="10"/>
      <color indexed="8"/>
      <name val="Segoe UI"/>
      <family val="2"/>
    </font>
    <font>
      <i/>
      <sz val="9"/>
      <color indexed="8"/>
      <name val="Segoe UI"/>
      <family val="2"/>
    </font>
    <font>
      <i/>
      <sz val="9"/>
      <color theme="1"/>
      <name val="Segoe UI"/>
      <family val="2"/>
    </font>
    <font>
      <i/>
      <sz val="9"/>
      <color theme="4"/>
      <name val="Segoe UI"/>
      <family val="2"/>
    </font>
    <font>
      <b/>
      <sz val="11"/>
      <color theme="1"/>
      <name val="Segoe UI"/>
      <family val="2"/>
    </font>
    <font>
      <b/>
      <sz val="14"/>
      <color indexed="8"/>
      <name val="Segoe UI"/>
      <family val="2"/>
    </font>
    <font>
      <sz val="12"/>
      <color indexed="9"/>
      <name val="Segoe UI"/>
      <family val="2"/>
    </font>
    <font>
      <sz val="9"/>
      <color indexed="8"/>
      <name val="Segoe UI"/>
      <family val="2"/>
    </font>
    <font>
      <b/>
      <sz val="8"/>
      <name val="Segoe UI"/>
      <family val="2"/>
    </font>
    <font>
      <sz val="8"/>
      <color theme="1"/>
      <name val="Segoe UI"/>
      <family val="2"/>
    </font>
    <font>
      <b/>
      <sz val="12"/>
      <color theme="1"/>
      <name val="Segoe UI"/>
      <family val="2"/>
    </font>
    <font>
      <b/>
      <vertAlign val="superscript"/>
      <sz val="10"/>
      <color theme="1"/>
      <name val="Segoe UI"/>
      <family val="2"/>
    </font>
    <font>
      <i/>
      <sz val="10"/>
      <name val="Segoe UI"/>
      <family val="2"/>
    </font>
    <font>
      <b/>
      <i/>
      <sz val="10"/>
      <name val="Segoe UI"/>
      <family val="2"/>
    </font>
    <font>
      <i/>
      <sz val="10"/>
      <color indexed="8"/>
      <name val="Segoe UI"/>
      <family val="2"/>
    </font>
    <font>
      <i/>
      <sz val="8"/>
      <color indexed="8"/>
      <name val="Segoe UI"/>
      <family val="2"/>
    </font>
    <font>
      <b/>
      <sz val="12"/>
      <color rgb="FFFF0000"/>
      <name val="Calibri"/>
      <family val="2"/>
      <scheme val="minor"/>
    </font>
    <font>
      <b/>
      <sz val="8"/>
      <color indexed="8"/>
      <name val="Segoe UI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E71"/>
        <bgColor indexed="64"/>
      </patternFill>
    </fill>
    <fill>
      <patternFill patternType="solid">
        <fgColor rgb="FFFFEEB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/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/>
      <top/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/>
      <right style="medium">
        <color theme="6" tint="-0.499984740745262"/>
      </right>
      <top/>
      <bottom/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indexed="18"/>
      </top>
      <bottom/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 style="medium">
        <color theme="6" tint="-0.24994659260841701"/>
      </left>
      <right style="medium">
        <color theme="6" tint="-0.24994659260841701"/>
      </right>
      <top/>
      <bottom style="medium">
        <color theme="6" tint="-0.24994659260841701"/>
      </bottom>
      <diagonal/>
    </border>
    <border>
      <left style="medium">
        <color theme="6" tint="-0.24994659260841701"/>
      </left>
      <right style="medium">
        <color theme="6" tint="-0.24994659260841701"/>
      </right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theme="8" tint="-0.499984740745262"/>
      </right>
      <top style="medium">
        <color indexed="64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indexed="64"/>
      </top>
      <bottom/>
      <diagonal/>
    </border>
    <border>
      <left style="medium">
        <color theme="8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8" tint="-0.499984740745262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theme="8" tint="-0.49998474074526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/>
      <bottom style="medium">
        <color indexed="64"/>
      </bottom>
      <diagonal/>
    </border>
    <border>
      <left style="medium">
        <color theme="8" tint="-0.499984740745262"/>
      </left>
      <right style="medium">
        <color indexed="64"/>
      </right>
      <top/>
      <bottom style="medium">
        <color indexed="64"/>
      </bottom>
      <diagonal/>
    </border>
  </borders>
  <cellStyleXfs count="91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7">
    <xf numFmtId="0" fontId="0" fillId="0" borderId="0" xfId="0"/>
    <xf numFmtId="0" fontId="3" fillId="0" borderId="0" xfId="3"/>
    <xf numFmtId="0" fontId="4" fillId="0" borderId="0" xfId="2" applyAlignment="1">
      <alignment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3" fontId="5" fillId="0" borderId="0" xfId="3" applyNumberFormat="1" applyFont="1" applyAlignment="1">
      <alignment vertical="center"/>
    </xf>
    <xf numFmtId="0" fontId="7" fillId="0" borderId="0" xfId="3" applyFont="1" applyAlignment="1">
      <alignment vertical="center" wrapText="1"/>
    </xf>
    <xf numFmtId="0" fontId="5" fillId="0" borderId="0" xfId="3" applyFont="1" applyAlignment="1">
      <alignment horizontal="right" vertical="center" wrapText="1"/>
    </xf>
    <xf numFmtId="165" fontId="5" fillId="0" borderId="0" xfId="1" applyNumberFormat="1" applyFont="1" applyAlignment="1">
      <alignment vertical="center" wrapText="1"/>
    </xf>
    <xf numFmtId="165" fontId="5" fillId="0" borderId="0" xfId="1" applyNumberFormat="1" applyFont="1" applyAlignment="1">
      <alignment horizontal="right" vertical="center" wrapText="1"/>
    </xf>
    <xf numFmtId="165" fontId="6" fillId="0" borderId="0" xfId="1" applyNumberFormat="1" applyFont="1" applyAlignment="1">
      <alignment vertical="center" wrapText="1"/>
    </xf>
    <xf numFmtId="0" fontId="0" fillId="0" borderId="0" xfId="0" applyAlignment="1">
      <alignment vertical="top"/>
    </xf>
    <xf numFmtId="0" fontId="17" fillId="3" borderId="0" xfId="0" applyFont="1" applyFill="1"/>
    <xf numFmtId="0" fontId="15" fillId="6" borderId="0" xfId="0" applyFont="1" applyFill="1" applyAlignment="1">
      <alignment vertical="center"/>
    </xf>
    <xf numFmtId="0" fontId="0" fillId="6" borderId="0" xfId="0" applyFill="1"/>
    <xf numFmtId="0" fontId="4" fillId="6" borderId="0" xfId="2" applyFill="1" applyAlignment="1">
      <alignment vertical="center"/>
    </xf>
    <xf numFmtId="0" fontId="11" fillId="6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0" fillId="3" borderId="0" xfId="0" applyFill="1"/>
    <xf numFmtId="0" fontId="18" fillId="6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20" fillId="6" borderId="0" xfId="2" applyFont="1" applyFill="1" applyAlignment="1">
      <alignment vertical="center"/>
    </xf>
    <xf numFmtId="0" fontId="21" fillId="6" borderId="0" xfId="0" applyFont="1" applyFill="1" applyAlignment="1">
      <alignment vertical="center"/>
    </xf>
    <xf numFmtId="0" fontId="22" fillId="5" borderId="8" xfId="3" applyFont="1" applyFill="1" applyBorder="1" applyAlignment="1">
      <alignment horizontal="left" vertical="center" wrapText="1"/>
    </xf>
    <xf numFmtId="0" fontId="22" fillId="5" borderId="8" xfId="3" applyFont="1" applyFill="1" applyBorder="1" applyAlignment="1">
      <alignment horizontal="right" vertical="center" wrapText="1"/>
    </xf>
    <xf numFmtId="3" fontId="23" fillId="0" borderId="9" xfId="3" applyNumberFormat="1" applyFont="1" applyBorder="1" applyAlignment="1">
      <alignment horizontal="right" vertical="center" wrapText="1"/>
    </xf>
    <xf numFmtId="0" fontId="23" fillId="0" borderId="10" xfId="3" applyFont="1" applyBorder="1" applyAlignment="1">
      <alignment vertical="center" wrapText="1"/>
    </xf>
    <xf numFmtId="3" fontId="23" fillId="0" borderId="10" xfId="3" applyNumberFormat="1" applyFont="1" applyBorder="1" applyAlignment="1">
      <alignment horizontal="right" vertical="center" wrapText="1"/>
    </xf>
    <xf numFmtId="0" fontId="24" fillId="0" borderId="0" xfId="0" applyFont="1"/>
    <xf numFmtId="0" fontId="22" fillId="5" borderId="4" xfId="3" applyFont="1" applyFill="1" applyBorder="1" applyAlignment="1">
      <alignment horizontal="center" vertical="center" wrapText="1"/>
    </xf>
    <xf numFmtId="0" fontId="22" fillId="5" borderId="8" xfId="3" applyFont="1" applyFill="1" applyBorder="1" applyAlignment="1">
      <alignment horizontal="center" vertical="center" wrapText="1"/>
    </xf>
    <xf numFmtId="3" fontId="25" fillId="0" borderId="9" xfId="3" applyNumberFormat="1" applyFont="1" applyBorder="1" applyAlignment="1">
      <alignment horizontal="right" vertical="center" wrapText="1"/>
    </xf>
    <xf numFmtId="0" fontId="26" fillId="6" borderId="9" xfId="3" applyFont="1" applyFill="1" applyBorder="1" applyAlignment="1">
      <alignment vertical="center" wrapText="1"/>
    </xf>
    <xf numFmtId="0" fontId="26" fillId="6" borderId="10" xfId="3" applyFont="1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26" fillId="0" borderId="0" xfId="3" applyFont="1" applyAlignment="1">
      <alignment horizontal="right" vertical="center" wrapText="1"/>
    </xf>
    <xf numFmtId="0" fontId="25" fillId="0" borderId="0" xfId="3" applyFont="1" applyAlignment="1">
      <alignment vertical="center" wrapText="1"/>
    </xf>
    <xf numFmtId="0" fontId="23" fillId="0" borderId="0" xfId="3" applyFont="1" applyAlignment="1">
      <alignment vertical="center" wrapText="1"/>
    </xf>
    <xf numFmtId="0" fontId="28" fillId="6" borderId="0" xfId="2" applyFont="1" applyFill="1" applyAlignment="1">
      <alignment vertical="center"/>
    </xf>
    <xf numFmtId="0" fontId="24" fillId="6" borderId="0" xfId="0" applyFont="1" applyFill="1"/>
    <xf numFmtId="0" fontId="26" fillId="5" borderId="8" xfId="3" applyFont="1" applyFill="1" applyBorder="1" applyAlignment="1">
      <alignment horizontal="right" vertical="center" wrapText="1"/>
    </xf>
    <xf numFmtId="0" fontId="26" fillId="5" borderId="9" xfId="3" applyFont="1" applyFill="1" applyBorder="1" applyAlignment="1">
      <alignment horizontal="right" vertical="center" wrapText="1"/>
    </xf>
    <xf numFmtId="0" fontId="22" fillId="5" borderId="9" xfId="3" applyFont="1" applyFill="1" applyBorder="1" applyAlignment="1">
      <alignment horizontal="right" vertical="center" wrapText="1"/>
    </xf>
    <xf numFmtId="0" fontId="25" fillId="0" borderId="10" xfId="3" applyFont="1" applyBorder="1" applyAlignment="1">
      <alignment vertical="center" wrapText="1"/>
    </xf>
    <xf numFmtId="0" fontId="29" fillId="6" borderId="0" xfId="0" applyFont="1" applyFill="1" applyAlignment="1">
      <alignment vertical="center"/>
    </xf>
    <xf numFmtId="0" fontId="30" fillId="6" borderId="0" xfId="0" applyFont="1" applyFill="1" applyAlignment="1">
      <alignment vertical="center"/>
    </xf>
    <xf numFmtId="168" fontId="27" fillId="0" borderId="10" xfId="0" applyNumberFormat="1" applyFont="1" applyBorder="1" applyAlignment="1">
      <alignment horizontal="right" vertical="center" wrapText="1"/>
    </xf>
    <xf numFmtId="167" fontId="23" fillId="0" borderId="10" xfId="3" applyNumberFormat="1" applyFont="1" applyBorder="1" applyAlignment="1">
      <alignment vertical="center" wrapText="1"/>
    </xf>
    <xf numFmtId="9" fontId="27" fillId="0" borderId="10" xfId="0" applyNumberFormat="1" applyFont="1" applyBorder="1" applyAlignment="1">
      <alignment horizontal="right" vertical="center" wrapText="1"/>
    </xf>
    <xf numFmtId="0" fontId="32" fillId="0" borderId="0" xfId="0" applyFont="1"/>
    <xf numFmtId="0" fontId="27" fillId="6" borderId="0" xfId="0" applyFont="1" applyFill="1" applyAlignment="1">
      <alignment vertical="center"/>
    </xf>
    <xf numFmtId="0" fontId="27" fillId="6" borderId="0" xfId="0" applyFont="1" applyFill="1" applyAlignment="1">
      <alignment vertical="top"/>
    </xf>
    <xf numFmtId="0" fontId="18" fillId="6" borderId="0" xfId="0" applyFont="1" applyFill="1" applyAlignment="1">
      <alignment vertical="top"/>
    </xf>
    <xf numFmtId="0" fontId="3" fillId="7" borderId="0" xfId="3" applyFill="1"/>
    <xf numFmtId="0" fontId="0" fillId="7" borderId="0" xfId="0" applyFill="1"/>
    <xf numFmtId="0" fontId="33" fillId="7" borderId="0" xfId="3" applyFont="1" applyFill="1" applyAlignment="1">
      <alignment vertical="center"/>
    </xf>
    <xf numFmtId="0" fontId="34" fillId="7" borderId="0" xfId="3" applyFont="1" applyFill="1"/>
    <xf numFmtId="0" fontId="28" fillId="7" borderId="0" xfId="2" applyFont="1" applyFill="1" applyAlignment="1">
      <alignment vertical="center"/>
    </xf>
    <xf numFmtId="0" fontId="23" fillId="7" borderId="0" xfId="3" applyFont="1" applyFill="1" applyAlignment="1">
      <alignment vertical="center"/>
    </xf>
    <xf numFmtId="0" fontId="35" fillId="7" borderId="0" xfId="3" applyFont="1" applyFill="1" applyAlignment="1">
      <alignment vertical="center"/>
    </xf>
    <xf numFmtId="0" fontId="23" fillId="0" borderId="0" xfId="3" applyFont="1" applyAlignment="1">
      <alignment vertical="center"/>
    </xf>
    <xf numFmtId="0" fontId="34" fillId="0" borderId="0" xfId="3" applyFont="1"/>
    <xf numFmtId="0" fontId="25" fillId="7" borderId="0" xfId="3" applyFont="1" applyFill="1" applyAlignment="1">
      <alignment vertical="center"/>
    </xf>
    <xf numFmtId="0" fontId="22" fillId="8" borderId="16" xfId="3" applyFont="1" applyFill="1" applyBorder="1" applyAlignment="1">
      <alignment vertical="center" wrapText="1"/>
    </xf>
    <xf numFmtId="0" fontId="22" fillId="8" borderId="16" xfId="3" applyFont="1" applyFill="1" applyBorder="1" applyAlignment="1">
      <alignment horizontal="right" vertical="center" wrapText="1"/>
    </xf>
    <xf numFmtId="0" fontId="23" fillId="0" borderId="17" xfId="3" applyFont="1" applyBorder="1" applyAlignment="1">
      <alignment vertical="center" wrapText="1"/>
    </xf>
    <xf numFmtId="3" fontId="23" fillId="0" borderId="17" xfId="3" applyNumberFormat="1" applyFont="1" applyBorder="1" applyAlignment="1">
      <alignment horizontal="right" vertical="center" wrapText="1"/>
    </xf>
    <xf numFmtId="0" fontId="25" fillId="0" borderId="18" xfId="3" applyFont="1" applyBorder="1" applyAlignment="1">
      <alignment vertical="center" wrapText="1"/>
    </xf>
    <xf numFmtId="3" fontId="25" fillId="0" borderId="18" xfId="3" applyNumberFormat="1" applyFont="1" applyBorder="1" applyAlignment="1">
      <alignment vertical="center" wrapText="1"/>
    </xf>
    <xf numFmtId="3" fontId="25" fillId="0" borderId="18" xfId="3" applyNumberFormat="1" applyFont="1" applyBorder="1" applyAlignment="1">
      <alignment horizontal="right" vertical="center" wrapText="1"/>
    </xf>
    <xf numFmtId="3" fontId="23" fillId="0" borderId="0" xfId="3" applyNumberFormat="1" applyFont="1" applyAlignment="1">
      <alignment vertical="center"/>
    </xf>
    <xf numFmtId="0" fontId="25" fillId="0" borderId="0" xfId="3" applyFont="1" applyAlignment="1">
      <alignment vertical="center"/>
    </xf>
    <xf numFmtId="0" fontId="22" fillId="8" borderId="16" xfId="3" applyFont="1" applyFill="1" applyBorder="1" applyAlignment="1">
      <alignment horizontal="center" vertical="center" wrapText="1"/>
    </xf>
    <xf numFmtId="0" fontId="23" fillId="0" borderId="0" xfId="3" applyFont="1"/>
    <xf numFmtId="0" fontId="24" fillId="7" borderId="0" xfId="0" applyFont="1" applyFill="1"/>
    <xf numFmtId="0" fontId="25" fillId="0" borderId="3" xfId="3" applyFont="1" applyBorder="1" applyAlignment="1">
      <alignment vertical="center" wrapText="1"/>
    </xf>
    <xf numFmtId="0" fontId="25" fillId="0" borderId="17" xfId="3" applyFont="1" applyBorder="1" applyAlignment="1">
      <alignment vertical="center" wrapText="1"/>
    </xf>
    <xf numFmtId="9" fontId="23" fillId="0" borderId="17" xfId="3" applyNumberFormat="1" applyFont="1" applyBorder="1" applyAlignment="1">
      <alignment horizontal="right" vertical="center" wrapText="1"/>
    </xf>
    <xf numFmtId="9" fontId="23" fillId="0" borderId="17" xfId="3" applyNumberFormat="1" applyFont="1" applyBorder="1" applyAlignment="1">
      <alignment horizontal="left" vertical="center" wrapText="1"/>
    </xf>
    <xf numFmtId="0" fontId="25" fillId="0" borderId="16" xfId="3" applyFont="1" applyBorder="1" applyAlignment="1">
      <alignment vertical="center" wrapText="1"/>
    </xf>
    <xf numFmtId="9" fontId="25" fillId="0" borderId="16" xfId="3" applyNumberFormat="1" applyFont="1" applyBorder="1" applyAlignment="1">
      <alignment horizontal="center" vertical="center" wrapText="1"/>
    </xf>
    <xf numFmtId="9" fontId="23" fillId="0" borderId="17" xfId="3" applyNumberFormat="1" applyFont="1" applyBorder="1" applyAlignment="1">
      <alignment horizontal="center" vertical="center" wrapText="1"/>
    </xf>
    <xf numFmtId="0" fontId="23" fillId="0" borderId="18" xfId="3" applyFont="1" applyBorder="1" applyAlignment="1">
      <alignment vertical="center" wrapText="1"/>
    </xf>
    <xf numFmtId="9" fontId="23" fillId="0" borderId="18" xfId="3" applyNumberFormat="1" applyFont="1" applyBorder="1" applyAlignment="1">
      <alignment horizontal="left" vertical="center" wrapText="1"/>
    </xf>
    <xf numFmtId="9" fontId="23" fillId="0" borderId="18" xfId="3" applyNumberFormat="1" applyFont="1" applyBorder="1" applyAlignment="1">
      <alignment horizontal="center" vertical="center" wrapText="1"/>
    </xf>
    <xf numFmtId="9" fontId="25" fillId="0" borderId="17" xfId="3" applyNumberFormat="1" applyFont="1" applyBorder="1" applyAlignment="1">
      <alignment horizontal="center" vertical="center" wrapText="1"/>
    </xf>
    <xf numFmtId="10" fontId="34" fillId="0" borderId="0" xfId="3" applyNumberFormat="1" applyFont="1"/>
    <xf numFmtId="9" fontId="25" fillId="0" borderId="0" xfId="3" applyNumberFormat="1" applyFont="1" applyAlignment="1">
      <alignment horizontal="right" vertical="center" wrapText="1"/>
    </xf>
    <xf numFmtId="3" fontId="25" fillId="0" borderId="0" xfId="3" applyNumberFormat="1" applyFont="1" applyAlignment="1">
      <alignment horizontal="left" vertical="center" wrapText="1"/>
    </xf>
    <xf numFmtId="0" fontId="34" fillId="0" borderId="0" xfId="3" applyFont="1" applyAlignment="1">
      <alignment wrapText="1"/>
    </xf>
    <xf numFmtId="0" fontId="25" fillId="0" borderId="1" xfId="3" applyFont="1" applyBorder="1" applyAlignment="1">
      <alignment vertical="center" wrapText="1"/>
    </xf>
    <xf numFmtId="0" fontId="23" fillId="0" borderId="2" xfId="3" applyFont="1" applyBorder="1" applyAlignment="1">
      <alignment vertical="center" wrapText="1"/>
    </xf>
    <xf numFmtId="3" fontId="23" fillId="0" borderId="2" xfId="3" applyNumberFormat="1" applyFont="1" applyBorder="1" applyAlignment="1">
      <alignment horizontal="right" vertical="center" wrapText="1"/>
    </xf>
    <xf numFmtId="0" fontId="23" fillId="0" borderId="1" xfId="3" applyFont="1" applyBorder="1" applyAlignment="1">
      <alignment vertical="center" wrapText="1"/>
    </xf>
    <xf numFmtId="9" fontId="23" fillId="0" borderId="0" xfId="3" applyNumberFormat="1" applyFont="1" applyAlignment="1">
      <alignment vertical="center"/>
    </xf>
    <xf numFmtId="0" fontId="35" fillId="0" borderId="0" xfId="3" applyFont="1" applyAlignment="1">
      <alignment vertical="center"/>
    </xf>
    <xf numFmtId="0" fontId="39" fillId="0" borderId="0" xfId="3" applyFont="1" applyAlignment="1">
      <alignment vertical="center"/>
    </xf>
    <xf numFmtId="166" fontId="40" fillId="0" borderId="0" xfId="0" applyNumberFormat="1" applyFont="1"/>
    <xf numFmtId="9" fontId="24" fillId="0" borderId="0" xfId="8" applyFont="1"/>
    <xf numFmtId="4" fontId="23" fillId="0" borderId="0" xfId="3" applyNumberFormat="1" applyFont="1" applyAlignment="1">
      <alignment vertical="center"/>
    </xf>
    <xf numFmtId="4" fontId="34" fillId="0" borderId="0" xfId="3" applyNumberFormat="1" applyFont="1"/>
    <xf numFmtId="0" fontId="41" fillId="0" borderId="0" xfId="3" applyFont="1" applyAlignment="1">
      <alignment vertical="center"/>
    </xf>
    <xf numFmtId="164" fontId="23" fillId="0" borderId="2" xfId="1" applyFont="1" applyBorder="1" applyAlignment="1">
      <alignment horizontal="right" vertical="center" wrapText="1"/>
    </xf>
    <xf numFmtId="0" fontId="42" fillId="0" borderId="0" xfId="3" applyFont="1"/>
    <xf numFmtId="0" fontId="34" fillId="0" borderId="0" xfId="3" applyFont="1" applyAlignment="1">
      <alignment vertical="center"/>
    </xf>
    <xf numFmtId="164" fontId="34" fillId="0" borderId="0" xfId="3" applyNumberFormat="1" applyFont="1"/>
    <xf numFmtId="0" fontId="23" fillId="0" borderId="0" xfId="3" applyFont="1" applyAlignment="1">
      <alignment horizontal="right" vertical="center" wrapText="1"/>
    </xf>
    <xf numFmtId="0" fontId="25" fillId="0" borderId="0" xfId="3" applyFont="1" applyAlignment="1">
      <alignment horizontal="right" vertical="center" wrapText="1"/>
    </xf>
    <xf numFmtId="0" fontId="26" fillId="0" borderId="0" xfId="3" applyFont="1" applyAlignment="1">
      <alignment vertical="center" wrapText="1"/>
    </xf>
    <xf numFmtId="0" fontId="24" fillId="0" borderId="0" xfId="0" applyFont="1" applyAlignment="1">
      <alignment horizontal="left" vertical="top" wrapText="1"/>
    </xf>
    <xf numFmtId="3" fontId="34" fillId="0" borderId="0" xfId="3" applyNumberFormat="1" applyFont="1"/>
    <xf numFmtId="3" fontId="25" fillId="0" borderId="0" xfId="3" applyNumberFormat="1" applyFont="1" applyAlignment="1">
      <alignment vertical="center" wrapText="1"/>
    </xf>
    <xf numFmtId="3" fontId="23" fillId="0" borderId="0" xfId="3" applyNumberFormat="1" applyFont="1" applyAlignment="1">
      <alignment horizontal="right" vertical="center" wrapText="1"/>
    </xf>
    <xf numFmtId="3" fontId="23" fillId="0" borderId="0" xfId="3" applyNumberFormat="1" applyFont="1" applyAlignment="1">
      <alignment vertical="center" wrapText="1"/>
    </xf>
    <xf numFmtId="165" fontId="23" fillId="0" borderId="0" xfId="1" applyNumberFormat="1" applyFont="1" applyAlignment="1">
      <alignment vertical="center" wrapText="1"/>
    </xf>
    <xf numFmtId="165" fontId="23" fillId="0" borderId="0" xfId="1" applyNumberFormat="1" applyFont="1" applyAlignment="1">
      <alignment horizontal="right" vertical="center" wrapText="1"/>
    </xf>
    <xf numFmtId="165" fontId="25" fillId="0" borderId="0" xfId="1" applyNumberFormat="1" applyFont="1" applyAlignment="1">
      <alignment vertical="center" wrapText="1"/>
    </xf>
    <xf numFmtId="3" fontId="25" fillId="0" borderId="17" xfId="3" applyNumberFormat="1" applyFont="1" applyBorder="1" applyAlignment="1">
      <alignment horizontal="right" vertical="center" wrapText="1"/>
    </xf>
    <xf numFmtId="3" fontId="23" fillId="0" borderId="18" xfId="3" applyNumberFormat="1" applyFont="1" applyBorder="1" applyAlignment="1">
      <alignment horizontal="right" vertical="center" wrapText="1"/>
    </xf>
    <xf numFmtId="3" fontId="23" fillId="0" borderId="21" xfId="3" applyNumberFormat="1" applyFont="1" applyBorder="1" applyAlignment="1">
      <alignment horizontal="right" vertical="center" wrapText="1"/>
    </xf>
    <xf numFmtId="3" fontId="25" fillId="0" borderId="16" xfId="3" applyNumberFormat="1" applyFont="1" applyBorder="1" applyAlignment="1">
      <alignment horizontal="right" vertical="center" wrapText="1"/>
    </xf>
    <xf numFmtId="0" fontId="23" fillId="0" borderId="17" xfId="3" applyFont="1" applyBorder="1" applyAlignment="1">
      <alignment horizontal="right" vertical="center" wrapText="1"/>
    </xf>
    <xf numFmtId="0" fontId="23" fillId="0" borderId="18" xfId="3" applyFont="1" applyBorder="1" applyAlignment="1">
      <alignment horizontal="right" vertical="center" wrapText="1"/>
    </xf>
    <xf numFmtId="0" fontId="22" fillId="8" borderId="17" xfId="3" applyFont="1" applyFill="1" applyBorder="1" applyAlignment="1">
      <alignment vertical="center" wrapText="1"/>
    </xf>
    <xf numFmtId="0" fontId="22" fillId="8" borderId="17" xfId="3" applyFont="1" applyFill="1" applyBorder="1" applyAlignment="1">
      <alignment horizontal="right" vertical="center" wrapText="1"/>
    </xf>
    <xf numFmtId="9" fontId="23" fillId="0" borderId="17" xfId="8" applyFont="1" applyBorder="1" applyAlignment="1">
      <alignment vertical="center" wrapText="1"/>
    </xf>
    <xf numFmtId="9" fontId="23" fillId="0" borderId="17" xfId="3" applyNumberFormat="1" applyFont="1" applyBorder="1" applyAlignment="1">
      <alignment vertical="center" wrapText="1"/>
    </xf>
    <xf numFmtId="9" fontId="23" fillId="0" borderId="18" xfId="8" applyFont="1" applyBorder="1" applyAlignment="1">
      <alignment vertical="center" wrapText="1"/>
    </xf>
    <xf numFmtId="9" fontId="23" fillId="0" borderId="18" xfId="3" applyNumberFormat="1" applyFont="1" applyBorder="1" applyAlignment="1">
      <alignment vertical="center" wrapText="1"/>
    </xf>
    <xf numFmtId="9" fontId="23" fillId="0" borderId="18" xfId="3" applyNumberFormat="1" applyFont="1" applyBorder="1" applyAlignment="1">
      <alignment horizontal="right" vertical="center" wrapText="1"/>
    </xf>
    <xf numFmtId="0" fontId="37" fillId="0" borderId="0" xfId="3" applyFont="1" applyAlignment="1">
      <alignment vertical="center" wrapText="1"/>
    </xf>
    <xf numFmtId="0" fontId="0" fillId="0" borderId="17" xfId="0" applyBorder="1"/>
    <xf numFmtId="3" fontId="23" fillId="0" borderId="23" xfId="3" applyNumberFormat="1" applyFont="1" applyBorder="1" applyAlignment="1">
      <alignment horizontal="right" vertical="center" wrapText="1"/>
    </xf>
    <xf numFmtId="3" fontId="25" fillId="0" borderId="24" xfId="3" applyNumberFormat="1" applyFont="1" applyBorder="1" applyAlignment="1">
      <alignment vertical="center" wrapText="1"/>
    </xf>
    <xf numFmtId="165" fontId="38" fillId="0" borderId="0" xfId="1" applyNumberFormat="1" applyFont="1"/>
    <xf numFmtId="0" fontId="26" fillId="2" borderId="25" xfId="3" applyFont="1" applyFill="1" applyBorder="1" applyAlignment="1">
      <alignment vertical="center" wrapText="1"/>
    </xf>
    <xf numFmtId="0" fontId="26" fillId="7" borderId="17" xfId="3" applyFont="1" applyFill="1" applyBorder="1" applyAlignment="1">
      <alignment vertical="center" wrapText="1"/>
    </xf>
    <xf numFmtId="3" fontId="25" fillId="0" borderId="22" xfId="3" applyNumberFormat="1" applyFont="1" applyBorder="1" applyAlignment="1">
      <alignment vertical="center" wrapText="1"/>
    </xf>
    <xf numFmtId="4" fontId="23" fillId="0" borderId="17" xfId="3" applyNumberFormat="1" applyFont="1" applyBorder="1" applyAlignment="1">
      <alignment horizontal="right" vertical="center" wrapText="1"/>
    </xf>
    <xf numFmtId="0" fontId="24" fillId="0" borderId="17" xfId="0" applyFont="1" applyBorder="1"/>
    <xf numFmtId="4" fontId="25" fillId="0" borderId="18" xfId="3" applyNumberFormat="1" applyFont="1" applyBorder="1" applyAlignment="1">
      <alignment horizontal="right" vertical="center" wrapText="1"/>
    </xf>
    <xf numFmtId="0" fontId="24" fillId="0" borderId="27" xfId="0" applyFont="1" applyBorder="1"/>
    <xf numFmtId="0" fontId="0" fillId="0" borderId="27" xfId="0" applyBorder="1"/>
    <xf numFmtId="0" fontId="24" fillId="0" borderId="20" xfId="0" applyFont="1" applyBorder="1"/>
    <xf numFmtId="4" fontId="23" fillId="0" borderId="23" xfId="3" applyNumberFormat="1" applyFont="1" applyBorder="1" applyAlignment="1">
      <alignment horizontal="right" vertical="center" wrapText="1"/>
    </xf>
    <xf numFmtId="4" fontId="25" fillId="0" borderId="24" xfId="3" applyNumberFormat="1" applyFont="1" applyBorder="1" applyAlignment="1">
      <alignment horizontal="right" vertical="center" wrapText="1"/>
    </xf>
    <xf numFmtId="4" fontId="23" fillId="0" borderId="17" xfId="3" applyNumberFormat="1" applyFont="1" applyBorder="1" applyAlignment="1">
      <alignment vertical="center" wrapText="1"/>
    </xf>
    <xf numFmtId="4" fontId="25" fillId="0" borderId="18" xfId="3" applyNumberFormat="1" applyFont="1" applyBorder="1" applyAlignment="1">
      <alignment vertical="center" wrapText="1"/>
    </xf>
    <xf numFmtId="2" fontId="25" fillId="0" borderId="17" xfId="3" applyNumberFormat="1" applyFont="1" applyBorder="1" applyAlignment="1">
      <alignment vertical="center" wrapText="1"/>
    </xf>
    <xf numFmtId="2" fontId="23" fillId="0" borderId="17" xfId="3" applyNumberFormat="1" applyFont="1" applyBorder="1" applyAlignment="1">
      <alignment vertical="center" wrapText="1"/>
    </xf>
    <xf numFmtId="2" fontId="23" fillId="0" borderId="18" xfId="3" applyNumberFormat="1" applyFont="1" applyBorder="1" applyAlignment="1">
      <alignment vertical="center" wrapText="1"/>
    </xf>
    <xf numFmtId="2" fontId="25" fillId="0" borderId="23" xfId="3" applyNumberFormat="1" applyFont="1" applyBorder="1" applyAlignment="1">
      <alignment vertical="center" wrapText="1"/>
    </xf>
    <xf numFmtId="2" fontId="23" fillId="0" borderId="23" xfId="3" applyNumberFormat="1" applyFont="1" applyBorder="1" applyAlignment="1">
      <alignment vertical="center" wrapText="1"/>
    </xf>
    <xf numFmtId="2" fontId="23" fillId="0" borderId="24" xfId="3" applyNumberFormat="1" applyFont="1" applyBorder="1" applyAlignment="1">
      <alignment vertical="center" wrapText="1"/>
    </xf>
    <xf numFmtId="2" fontId="23" fillId="0" borderId="0" xfId="3" applyNumberFormat="1" applyFont="1" applyAlignment="1">
      <alignment vertical="center" wrapText="1"/>
    </xf>
    <xf numFmtId="0" fontId="25" fillId="0" borderId="17" xfId="3" applyFont="1" applyBorder="1" applyAlignment="1">
      <alignment horizontal="right" vertical="center" wrapText="1"/>
    </xf>
    <xf numFmtId="0" fontId="23" fillId="0" borderId="23" xfId="3" applyFont="1" applyBorder="1" applyAlignment="1">
      <alignment horizontal="right" vertical="center" wrapText="1"/>
    </xf>
    <xf numFmtId="0" fontId="23" fillId="0" borderId="24" xfId="3" applyFont="1" applyBorder="1" applyAlignment="1">
      <alignment horizontal="right" vertical="center" wrapText="1"/>
    </xf>
    <xf numFmtId="0" fontId="25" fillId="0" borderId="29" xfId="3" applyFont="1" applyBorder="1" applyAlignment="1">
      <alignment vertical="center" wrapText="1"/>
    </xf>
    <xf numFmtId="0" fontId="25" fillId="0" borderId="29" xfId="3" applyFont="1" applyBorder="1" applyAlignment="1">
      <alignment horizontal="right" vertical="center" wrapText="1"/>
    </xf>
    <xf numFmtId="0" fontId="23" fillId="0" borderId="29" xfId="3" applyFont="1" applyBorder="1" applyAlignment="1">
      <alignment vertical="center" wrapText="1"/>
    </xf>
    <xf numFmtId="0" fontId="23" fillId="0" borderId="29" xfId="3" applyFont="1" applyBorder="1" applyAlignment="1">
      <alignment horizontal="right" vertical="center" wrapText="1"/>
    </xf>
    <xf numFmtId="0" fontId="23" fillId="0" borderId="28" xfId="3" applyFont="1" applyBorder="1" applyAlignment="1">
      <alignment vertical="center" wrapText="1"/>
    </xf>
    <xf numFmtId="164" fontId="25" fillId="0" borderId="17" xfId="1" applyFont="1" applyBorder="1" applyAlignment="1">
      <alignment vertical="center" wrapText="1"/>
    </xf>
    <xf numFmtId="164" fontId="23" fillId="0" borderId="17" xfId="1" applyFont="1" applyBorder="1" applyAlignment="1">
      <alignment vertical="center" wrapText="1"/>
    </xf>
    <xf numFmtId="164" fontId="23" fillId="0" borderId="18" xfId="1" applyFont="1" applyBorder="1" applyAlignment="1">
      <alignment vertical="center" wrapText="1"/>
    </xf>
    <xf numFmtId="164" fontId="25" fillId="0" borderId="23" xfId="1" applyFont="1" applyBorder="1" applyAlignment="1">
      <alignment vertical="center" wrapText="1"/>
    </xf>
    <xf numFmtId="164" fontId="23" fillId="0" borderId="23" xfId="1" applyFont="1" applyBorder="1" applyAlignment="1">
      <alignment vertical="center" wrapText="1"/>
    </xf>
    <xf numFmtId="164" fontId="23" fillId="0" borderId="24" xfId="1" applyFont="1" applyBorder="1" applyAlignment="1">
      <alignment vertical="center" wrapText="1"/>
    </xf>
    <xf numFmtId="0" fontId="0" fillId="0" borderId="18" xfId="0" applyBorder="1" applyAlignment="1">
      <alignment horizontal="right"/>
    </xf>
    <xf numFmtId="0" fontId="22" fillId="8" borderId="19" xfId="3" applyFont="1" applyFill="1" applyBorder="1" applyAlignment="1">
      <alignment vertical="center" wrapText="1"/>
    </xf>
    <xf numFmtId="164" fontId="25" fillId="0" borderId="16" xfId="1" applyFont="1" applyBorder="1" applyAlignment="1">
      <alignment horizontal="right" vertical="center" wrapText="1"/>
    </xf>
    <xf numFmtId="164" fontId="25" fillId="0" borderId="17" xfId="1" applyFont="1" applyBorder="1" applyAlignment="1">
      <alignment horizontal="right" vertical="center" wrapText="1"/>
    </xf>
    <xf numFmtId="164" fontId="23" fillId="0" borderId="17" xfId="1" applyFont="1" applyBorder="1" applyAlignment="1">
      <alignment horizontal="right" vertical="center" wrapText="1"/>
    </xf>
    <xf numFmtId="164" fontId="23" fillId="0" borderId="18" xfId="1" applyFont="1" applyBorder="1" applyAlignment="1">
      <alignment horizontal="right" vertical="center" wrapText="1"/>
    </xf>
    <xf numFmtId="164" fontId="43" fillId="0" borderId="18" xfId="1" applyFont="1" applyBorder="1" applyAlignment="1">
      <alignment horizontal="right" vertical="center" wrapText="1"/>
    </xf>
    <xf numFmtId="0" fontId="25" fillId="0" borderId="16" xfId="3" applyFont="1" applyBorder="1" applyAlignment="1">
      <alignment horizontal="right" vertical="center" wrapText="1"/>
    </xf>
    <xf numFmtId="4" fontId="25" fillId="0" borderId="16" xfId="3" applyNumberFormat="1" applyFont="1" applyBorder="1" applyAlignment="1">
      <alignment horizontal="right" vertical="center" wrapText="1"/>
    </xf>
    <xf numFmtId="0" fontId="43" fillId="0" borderId="18" xfId="3" applyFont="1" applyBorder="1" applyAlignment="1">
      <alignment horizontal="right" vertical="center" wrapText="1"/>
    </xf>
    <xf numFmtId="164" fontId="23" fillId="7" borderId="18" xfId="1" applyFont="1" applyFill="1" applyBorder="1" applyAlignment="1">
      <alignment horizontal="right" vertical="center" wrapText="1"/>
    </xf>
    <xf numFmtId="0" fontId="43" fillId="0" borderId="17" xfId="3" applyFont="1" applyBorder="1" applyAlignment="1">
      <alignment vertical="center" wrapText="1"/>
    </xf>
    <xf numFmtId="0" fontId="22" fillId="8" borderId="30" xfId="3" applyFont="1" applyFill="1" applyBorder="1" applyAlignment="1">
      <alignment vertical="center" wrapText="1"/>
    </xf>
    <xf numFmtId="0" fontId="22" fillId="8" borderId="30" xfId="3" applyFont="1" applyFill="1" applyBorder="1" applyAlignment="1">
      <alignment horizontal="right" vertical="center" wrapText="1"/>
    </xf>
    <xf numFmtId="9" fontId="22" fillId="8" borderId="30" xfId="8" applyFont="1" applyFill="1" applyBorder="1" applyAlignment="1">
      <alignment horizontal="right" vertical="center" wrapText="1"/>
    </xf>
    <xf numFmtId="9" fontId="23" fillId="0" borderId="29" xfId="3" applyNumberFormat="1" applyFont="1" applyBorder="1" applyAlignment="1">
      <alignment vertical="center" wrapText="1"/>
    </xf>
    <xf numFmtId="9" fontId="23" fillId="0" borderId="29" xfId="8" applyFont="1" applyBorder="1" applyAlignment="1">
      <alignment vertical="center" wrapText="1"/>
    </xf>
    <xf numFmtId="9" fontId="23" fillId="0" borderId="28" xfId="8" applyFont="1" applyBorder="1" applyAlignment="1">
      <alignment vertical="center" wrapText="1"/>
    </xf>
    <xf numFmtId="0" fontId="25" fillId="0" borderId="28" xfId="3" applyFont="1" applyBorder="1" applyAlignment="1">
      <alignment horizontal="right" vertical="center" wrapText="1"/>
    </xf>
    <xf numFmtId="0" fontId="22" fillId="8" borderId="18" xfId="3" applyFont="1" applyFill="1" applyBorder="1" applyAlignment="1">
      <alignment horizontal="right" vertical="center" wrapText="1"/>
    </xf>
    <xf numFmtId="0" fontId="22" fillId="0" borderId="16" xfId="3" applyFont="1" applyBorder="1" applyAlignment="1">
      <alignment horizontal="left" vertical="center" wrapText="1"/>
    </xf>
    <xf numFmtId="4" fontId="25" fillId="0" borderId="16" xfId="3" applyNumberFormat="1" applyFont="1" applyBorder="1" applyAlignment="1">
      <alignment vertical="center" wrapText="1"/>
    </xf>
    <xf numFmtId="43" fontId="25" fillId="0" borderId="16" xfId="3" applyNumberFormat="1" applyFont="1" applyBorder="1" applyAlignment="1">
      <alignment vertical="center" wrapText="1"/>
    </xf>
    <xf numFmtId="0" fontId="24" fillId="0" borderId="18" xfId="0" applyFont="1" applyBorder="1"/>
    <xf numFmtId="2" fontId="23" fillId="0" borderId="18" xfId="3" applyNumberFormat="1" applyFont="1" applyBorder="1" applyAlignment="1">
      <alignment horizontal="right" vertical="center" wrapText="1"/>
    </xf>
    <xf numFmtId="4" fontId="25" fillId="0" borderId="17" xfId="3" applyNumberFormat="1" applyFont="1" applyBorder="1" applyAlignment="1">
      <alignment vertical="center" wrapText="1"/>
    </xf>
    <xf numFmtId="43" fontId="23" fillId="0" borderId="17" xfId="3" applyNumberFormat="1" applyFont="1" applyBorder="1" applyAlignment="1">
      <alignment vertical="center" wrapText="1"/>
    </xf>
    <xf numFmtId="4" fontId="25" fillId="0" borderId="17" xfId="3" applyNumberFormat="1" applyFont="1" applyBorder="1" applyAlignment="1">
      <alignment horizontal="right" vertical="center" wrapText="1"/>
    </xf>
    <xf numFmtId="0" fontId="22" fillId="0" borderId="17" xfId="3" applyFont="1" applyBorder="1" applyAlignment="1">
      <alignment horizontal="left" vertical="center" wrapText="1"/>
    </xf>
    <xf numFmtId="2" fontId="23" fillId="0" borderId="17" xfId="3" applyNumberFormat="1" applyFont="1" applyBorder="1" applyAlignment="1">
      <alignment horizontal="right" vertical="center" wrapText="1"/>
    </xf>
    <xf numFmtId="2" fontId="25" fillId="0" borderId="16" xfId="3" applyNumberFormat="1" applyFont="1" applyBorder="1" applyAlignment="1">
      <alignment vertical="center" wrapText="1"/>
    </xf>
    <xf numFmtId="43" fontId="23" fillId="0" borderId="18" xfId="3" applyNumberFormat="1" applyFont="1" applyBorder="1" applyAlignment="1">
      <alignment horizontal="right" vertical="center" wrapText="1"/>
    </xf>
    <xf numFmtId="3" fontId="25" fillId="3" borderId="17" xfId="3" applyNumberFormat="1" applyFont="1" applyFill="1" applyBorder="1" applyAlignment="1">
      <alignment horizontal="right" vertical="center" wrapText="1"/>
    </xf>
    <xf numFmtId="3" fontId="23" fillId="3" borderId="17" xfId="3" applyNumberFormat="1" applyFont="1" applyFill="1" applyBorder="1" applyAlignment="1">
      <alignment horizontal="right" vertical="center" wrapText="1"/>
    </xf>
    <xf numFmtId="3" fontId="25" fillId="0" borderId="17" xfId="3" applyNumberFormat="1" applyFont="1" applyBorder="1" applyAlignment="1">
      <alignment vertical="center" wrapText="1"/>
    </xf>
    <xf numFmtId="3" fontId="23" fillId="3" borderId="17" xfId="3" applyNumberFormat="1" applyFont="1" applyFill="1" applyBorder="1" applyAlignment="1">
      <alignment vertical="center" wrapText="1"/>
    </xf>
    <xf numFmtId="3" fontId="23" fillId="0" borderId="17" xfId="3" applyNumberFormat="1" applyFont="1" applyBorder="1" applyAlignment="1">
      <alignment vertical="center" wrapText="1"/>
    </xf>
    <xf numFmtId="3" fontId="23" fillId="3" borderId="18" xfId="3" applyNumberFormat="1" applyFont="1" applyFill="1" applyBorder="1" applyAlignment="1">
      <alignment horizontal="right" vertical="center" wrapText="1"/>
    </xf>
    <xf numFmtId="3" fontId="23" fillId="0" borderId="18" xfId="3" applyNumberFormat="1" applyFont="1" applyBorder="1" applyAlignment="1">
      <alignment vertical="center" wrapText="1"/>
    </xf>
    <xf numFmtId="4" fontId="23" fillId="0" borderId="18" xfId="3" applyNumberFormat="1" applyFont="1" applyBorder="1" applyAlignment="1">
      <alignment vertical="center" wrapText="1"/>
    </xf>
    <xf numFmtId="0" fontId="26" fillId="7" borderId="17" xfId="3" applyFont="1" applyFill="1" applyBorder="1" applyAlignment="1">
      <alignment horizontal="right" vertical="center" wrapText="1"/>
    </xf>
    <xf numFmtId="0" fontId="26" fillId="7" borderId="18" xfId="3" applyFont="1" applyFill="1" applyBorder="1" applyAlignment="1">
      <alignment horizontal="right" vertical="center" wrapText="1"/>
    </xf>
    <xf numFmtId="0" fontId="26" fillId="7" borderId="18" xfId="3" applyFont="1" applyFill="1" applyBorder="1" applyAlignment="1">
      <alignment vertical="center" wrapText="1"/>
    </xf>
    <xf numFmtId="0" fontId="23" fillId="7" borderId="18" xfId="3" applyFont="1" applyFill="1" applyBorder="1" applyAlignment="1">
      <alignment vertical="center" wrapText="1"/>
    </xf>
    <xf numFmtId="3" fontId="23" fillId="7" borderId="18" xfId="3" applyNumberFormat="1" applyFont="1" applyFill="1" applyBorder="1" applyAlignment="1">
      <alignment horizontal="right" vertical="center" wrapText="1"/>
    </xf>
    <xf numFmtId="3" fontId="43" fillId="0" borderId="0" xfId="3" applyNumberFormat="1" applyFont="1"/>
    <xf numFmtId="165" fontId="23" fillId="0" borderId="17" xfId="1" applyNumberFormat="1" applyFont="1" applyBorder="1" applyAlignment="1">
      <alignment horizontal="right" vertical="center" wrapText="1"/>
    </xf>
    <xf numFmtId="0" fontId="23" fillId="4" borderId="17" xfId="3" applyFont="1" applyFill="1" applyBorder="1" applyAlignment="1">
      <alignment vertical="center" wrapText="1"/>
    </xf>
    <xf numFmtId="0" fontId="23" fillId="7" borderId="17" xfId="3" applyFont="1" applyFill="1" applyBorder="1" applyAlignment="1">
      <alignment vertical="center" wrapText="1"/>
    </xf>
    <xf numFmtId="165" fontId="23" fillId="7" borderId="17" xfId="1" applyNumberFormat="1" applyFont="1" applyFill="1" applyBorder="1" applyAlignment="1">
      <alignment horizontal="right" vertical="center" wrapText="1"/>
    </xf>
    <xf numFmtId="3" fontId="23" fillId="7" borderId="17" xfId="3" applyNumberFormat="1" applyFont="1" applyFill="1" applyBorder="1" applyAlignment="1">
      <alignment vertical="center" wrapText="1"/>
    </xf>
    <xf numFmtId="0" fontId="25" fillId="0" borderId="18" xfId="3" applyFont="1" applyBorder="1" applyAlignment="1">
      <alignment horizontal="right" vertical="center" wrapText="1"/>
    </xf>
    <xf numFmtId="165" fontId="23" fillId="3" borderId="17" xfId="1" applyNumberFormat="1" applyFont="1" applyFill="1" applyBorder="1" applyAlignment="1">
      <alignment horizontal="right" vertical="center" wrapText="1"/>
    </xf>
    <xf numFmtId="3" fontId="25" fillId="3" borderId="17" xfId="3" applyNumberFormat="1" applyFont="1" applyFill="1" applyBorder="1" applyAlignment="1">
      <alignment vertical="center" wrapText="1"/>
    </xf>
    <xf numFmtId="165" fontId="25" fillId="0" borderId="18" xfId="1" applyNumberFormat="1" applyFont="1" applyBorder="1" applyAlignment="1">
      <alignment horizontal="right" vertical="center" wrapText="1"/>
    </xf>
    <xf numFmtId="165" fontId="25" fillId="3" borderId="18" xfId="1" applyNumberFormat="1" applyFont="1" applyFill="1" applyBorder="1" applyAlignment="1">
      <alignment horizontal="right" vertical="center" wrapText="1"/>
    </xf>
    <xf numFmtId="0" fontId="27" fillId="0" borderId="0" xfId="0" applyFont="1"/>
    <xf numFmtId="3" fontId="23" fillId="4" borderId="17" xfId="3" applyNumberFormat="1" applyFont="1" applyFill="1" applyBorder="1" applyAlignment="1">
      <alignment horizontal="right" vertical="center" wrapText="1"/>
    </xf>
    <xf numFmtId="3" fontId="25" fillId="0" borderId="18" xfId="3" applyNumberFormat="1" applyFont="1" applyBorder="1" applyAlignment="1">
      <alignment horizontal="left" vertical="center" wrapText="1"/>
    </xf>
    <xf numFmtId="2" fontId="23" fillId="0" borderId="23" xfId="3" applyNumberFormat="1" applyFont="1" applyBorder="1" applyAlignment="1">
      <alignment horizontal="right" vertical="center" wrapText="1"/>
    </xf>
    <xf numFmtId="0" fontId="0" fillId="9" borderId="0" xfId="0" applyFill="1"/>
    <xf numFmtId="0" fontId="11" fillId="3" borderId="0" xfId="0" applyFont="1" applyFill="1" applyAlignment="1">
      <alignment vertical="center"/>
    </xf>
    <xf numFmtId="0" fontId="45" fillId="3" borderId="0" xfId="0" applyFont="1" applyFill="1" applyAlignment="1">
      <alignment vertical="center"/>
    </xf>
    <xf numFmtId="0" fontId="24" fillId="3" borderId="0" xfId="0" applyFont="1" applyFill="1"/>
    <xf numFmtId="0" fontId="33" fillId="9" borderId="0" xfId="3" applyFont="1" applyFill="1" applyAlignment="1">
      <alignment vertical="center"/>
    </xf>
    <xf numFmtId="0" fontId="24" fillId="9" borderId="0" xfId="0" applyFont="1" applyFill="1"/>
    <xf numFmtId="0" fontId="28" fillId="9" borderId="0" xfId="2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28" fillId="3" borderId="0" xfId="2" applyFont="1" applyFill="1" applyAlignment="1">
      <alignment vertical="center"/>
    </xf>
    <xf numFmtId="0" fontId="46" fillId="9" borderId="0" xfId="0" applyFont="1" applyFill="1" applyAlignment="1">
      <alignment vertical="center"/>
    </xf>
    <xf numFmtId="0" fontId="46" fillId="3" borderId="0" xfId="0" applyFont="1" applyFill="1" applyAlignment="1">
      <alignment vertical="center"/>
    </xf>
    <xf numFmtId="0" fontId="22" fillId="10" borderId="31" xfId="3" applyFont="1" applyFill="1" applyBorder="1" applyAlignment="1">
      <alignment horizontal="right" vertical="center" wrapText="1"/>
    </xf>
    <xf numFmtId="169" fontId="25" fillId="3" borderId="32" xfId="3" applyNumberFormat="1" applyFont="1" applyFill="1" applyBorder="1" applyAlignment="1">
      <alignment horizontal="right" vertical="center" wrapText="1"/>
    </xf>
    <xf numFmtId="10" fontId="25" fillId="3" borderId="32" xfId="3" applyNumberFormat="1" applyFont="1" applyFill="1" applyBorder="1" applyAlignment="1">
      <alignment horizontal="right" vertical="center" wrapText="1"/>
    </xf>
    <xf numFmtId="169" fontId="23" fillId="3" borderId="32" xfId="3" applyNumberFormat="1" applyFont="1" applyFill="1" applyBorder="1" applyAlignment="1">
      <alignment horizontal="right" vertical="center" wrapText="1"/>
    </xf>
    <xf numFmtId="0" fontId="27" fillId="3" borderId="0" xfId="0" applyFont="1" applyFill="1" applyAlignment="1">
      <alignment vertical="center"/>
    </xf>
    <xf numFmtId="10" fontId="24" fillId="3" borderId="0" xfId="0" applyNumberFormat="1" applyFont="1" applyFill="1"/>
    <xf numFmtId="0" fontId="46" fillId="0" borderId="0" xfId="0" applyFont="1" applyAlignment="1">
      <alignment vertical="center"/>
    </xf>
    <xf numFmtId="4" fontId="23" fillId="3" borderId="32" xfId="3" applyNumberFormat="1" applyFont="1" applyFill="1" applyBorder="1" applyAlignment="1">
      <alignment horizontal="right" vertical="center" wrapText="1"/>
    </xf>
    <xf numFmtId="3" fontId="25" fillId="3" borderId="33" xfId="3" applyNumberFormat="1" applyFont="1" applyFill="1" applyBorder="1" applyAlignment="1">
      <alignment horizontal="right" vertical="center" wrapText="1"/>
    </xf>
    <xf numFmtId="49" fontId="27" fillId="3" borderId="0" xfId="0" applyNumberFormat="1" applyFont="1" applyFill="1"/>
    <xf numFmtId="0" fontId="49" fillId="3" borderId="35" xfId="3" applyFont="1" applyFill="1" applyBorder="1" applyAlignment="1">
      <alignment horizontal="center" vertical="center" wrapText="1"/>
    </xf>
    <xf numFmtId="169" fontId="50" fillId="3" borderId="32" xfId="3" applyNumberFormat="1" applyFont="1" applyFill="1" applyBorder="1" applyAlignment="1">
      <alignment horizontal="right" vertical="center" wrapText="1"/>
    </xf>
    <xf numFmtId="0" fontId="25" fillId="3" borderId="9" xfId="3" applyFont="1" applyFill="1" applyBorder="1" applyAlignment="1">
      <alignment vertical="center" wrapText="1"/>
    </xf>
    <xf numFmtId="2" fontId="25" fillId="3" borderId="9" xfId="3" applyNumberFormat="1" applyFont="1" applyFill="1" applyBorder="1" applyAlignment="1">
      <alignment vertical="center" wrapText="1"/>
    </xf>
    <xf numFmtId="2" fontId="23" fillId="3" borderId="9" xfId="3" applyNumberFormat="1" applyFont="1" applyFill="1" applyBorder="1" applyAlignment="1">
      <alignment vertical="center" wrapText="1"/>
    </xf>
    <xf numFmtId="0" fontId="23" fillId="3" borderId="10" xfId="3" applyFont="1" applyFill="1" applyBorder="1" applyAlignment="1">
      <alignment vertical="center" wrapText="1"/>
    </xf>
    <xf numFmtId="2" fontId="27" fillId="3" borderId="10" xfId="0" applyNumberFormat="1" applyFont="1" applyFill="1" applyBorder="1" applyAlignment="1">
      <alignment horizontal="right" vertical="center" wrapText="1"/>
    </xf>
    <xf numFmtId="0" fontId="23" fillId="3" borderId="8" xfId="3" applyFont="1" applyFill="1" applyBorder="1" applyAlignment="1">
      <alignment vertical="center" wrapText="1"/>
    </xf>
    <xf numFmtId="2" fontId="27" fillId="3" borderId="8" xfId="0" applyNumberFormat="1" applyFont="1" applyFill="1" applyBorder="1" applyAlignment="1">
      <alignment horizontal="right" vertical="center" wrapText="1"/>
    </xf>
    <xf numFmtId="0" fontId="25" fillId="3" borderId="4" xfId="3" applyFont="1" applyFill="1" applyBorder="1" applyAlignment="1">
      <alignment vertical="center" wrapText="1"/>
    </xf>
    <xf numFmtId="2" fontId="27" fillId="3" borderId="4" xfId="0" applyNumberFormat="1" applyFont="1" applyFill="1" applyBorder="1" applyAlignment="1">
      <alignment horizontal="right" vertical="center" wrapText="1"/>
    </xf>
    <xf numFmtId="0" fontId="14" fillId="3" borderId="0" xfId="0" applyFont="1" applyFill="1" applyAlignment="1">
      <alignment vertical="center"/>
    </xf>
    <xf numFmtId="168" fontId="23" fillId="3" borderId="9" xfId="3" applyNumberFormat="1" applyFont="1" applyFill="1" applyBorder="1" applyAlignment="1">
      <alignment vertical="center" wrapText="1"/>
    </xf>
    <xf numFmtId="168" fontId="27" fillId="3" borderId="10" xfId="0" applyNumberFormat="1" applyFont="1" applyFill="1" applyBorder="1" applyAlignment="1">
      <alignment horizontal="right" vertical="center" wrapText="1"/>
    </xf>
    <xf numFmtId="0" fontId="19" fillId="3" borderId="0" xfId="0" applyFont="1" applyFill="1" applyAlignment="1">
      <alignment vertical="center"/>
    </xf>
    <xf numFmtId="0" fontId="27" fillId="3" borderId="0" xfId="0" applyFont="1" applyFill="1" applyAlignment="1">
      <alignment vertical="center" wrapText="1"/>
    </xf>
    <xf numFmtId="0" fontId="26" fillId="3" borderId="0" xfId="3" applyFont="1" applyFill="1" applyAlignment="1">
      <alignment horizontal="right" vertical="center" wrapText="1"/>
    </xf>
    <xf numFmtId="0" fontId="27" fillId="3" borderId="0" xfId="0" applyFont="1" applyFill="1" applyAlignment="1">
      <alignment horizontal="left" vertical="center" indent="3"/>
    </xf>
    <xf numFmtId="167" fontId="23" fillId="3" borderId="9" xfId="3" applyNumberFormat="1" applyFont="1" applyFill="1" applyBorder="1" applyAlignment="1">
      <alignment horizontal="right" vertical="center" wrapText="1"/>
    </xf>
    <xf numFmtId="167" fontId="27" fillId="3" borderId="10" xfId="0" applyNumberFormat="1" applyFont="1" applyFill="1" applyBorder="1" applyAlignment="1">
      <alignment horizontal="right" vertical="center" wrapText="1"/>
    </xf>
    <xf numFmtId="9" fontId="23" fillId="3" borderId="9" xfId="3" applyNumberFormat="1" applyFont="1" applyFill="1" applyBorder="1" applyAlignment="1">
      <alignment horizontal="right" vertical="center" wrapText="1"/>
    </xf>
    <xf numFmtId="9" fontId="27" fillId="3" borderId="10" xfId="0" applyNumberFormat="1" applyFont="1" applyFill="1" applyBorder="1" applyAlignment="1">
      <alignment horizontal="right" vertical="center" wrapText="1"/>
    </xf>
    <xf numFmtId="168" fontId="25" fillId="3" borderId="0" xfId="3" applyNumberFormat="1" applyFont="1" applyFill="1" applyAlignment="1">
      <alignment horizontal="left" vertical="center"/>
    </xf>
    <xf numFmtId="167" fontId="24" fillId="3" borderId="0" xfId="0" applyNumberFormat="1" applyFont="1" applyFill="1"/>
    <xf numFmtId="167" fontId="23" fillId="3" borderId="9" xfId="3" applyNumberFormat="1" applyFont="1" applyFill="1" applyBorder="1" applyAlignment="1">
      <alignment vertical="center" wrapText="1"/>
    </xf>
    <xf numFmtId="0" fontId="23" fillId="3" borderId="0" xfId="3" applyFont="1" applyFill="1" applyAlignment="1">
      <alignment vertical="center" wrapText="1"/>
    </xf>
    <xf numFmtId="167" fontId="23" fillId="3" borderId="10" xfId="3" applyNumberFormat="1" applyFont="1" applyFill="1" applyBorder="1" applyAlignment="1">
      <alignment vertical="center" wrapText="1"/>
    </xf>
    <xf numFmtId="1" fontId="25" fillId="3" borderId="11" xfId="3" applyNumberFormat="1" applyFont="1" applyFill="1" applyBorder="1" applyAlignment="1">
      <alignment horizontal="right" vertical="center" wrapText="1"/>
    </xf>
    <xf numFmtId="3" fontId="25" fillId="3" borderId="9" xfId="3" applyNumberFormat="1" applyFont="1" applyFill="1" applyBorder="1" applyAlignment="1">
      <alignment horizontal="right" vertical="center" wrapText="1"/>
    </xf>
    <xf numFmtId="0" fontId="25" fillId="3" borderId="0" xfId="3" applyFont="1" applyFill="1" applyAlignment="1">
      <alignment vertical="center" wrapText="1"/>
    </xf>
    <xf numFmtId="168" fontId="25" fillId="3" borderId="0" xfId="3" applyNumberFormat="1" applyFont="1" applyFill="1" applyAlignment="1">
      <alignment horizontal="right" vertical="center" wrapText="1"/>
    </xf>
    <xf numFmtId="168" fontId="6" fillId="3" borderId="0" xfId="3" applyNumberFormat="1" applyFont="1" applyFill="1" applyAlignment="1">
      <alignment horizontal="right" vertical="center" wrapText="1"/>
    </xf>
    <xf numFmtId="0" fontId="23" fillId="3" borderId="9" xfId="3" applyFont="1" applyFill="1" applyBorder="1" applyAlignment="1">
      <alignment vertical="center" wrapText="1"/>
    </xf>
    <xf numFmtId="1" fontId="23" fillId="3" borderId="11" xfId="3" applyNumberFormat="1" applyFont="1" applyFill="1" applyBorder="1" applyAlignment="1">
      <alignment vertical="center" wrapText="1"/>
    </xf>
    <xf numFmtId="3" fontId="23" fillId="3" borderId="9" xfId="3" applyNumberFormat="1" applyFont="1" applyFill="1" applyBorder="1" applyAlignment="1">
      <alignment horizontal="right" vertical="center" wrapText="1"/>
    </xf>
    <xf numFmtId="168" fontId="23" fillId="3" borderId="0" xfId="3" applyNumberFormat="1" applyFont="1" applyFill="1" applyAlignment="1">
      <alignment horizontal="right" vertical="center" wrapText="1"/>
    </xf>
    <xf numFmtId="168" fontId="5" fillId="3" borderId="0" xfId="3" applyNumberFormat="1" applyFont="1" applyFill="1" applyAlignment="1">
      <alignment horizontal="right" vertical="center" wrapText="1"/>
    </xf>
    <xf numFmtId="1" fontId="27" fillId="3" borderId="13" xfId="0" applyNumberFormat="1" applyFont="1" applyFill="1" applyBorder="1" applyAlignment="1">
      <alignment horizontal="right" vertical="center" wrapText="1"/>
    </xf>
    <xf numFmtId="3" fontId="27" fillId="3" borderId="10" xfId="0" applyNumberFormat="1" applyFont="1" applyFill="1" applyBorder="1" applyAlignment="1">
      <alignment horizontal="right" vertical="center" wrapText="1"/>
    </xf>
    <xf numFmtId="168" fontId="27" fillId="3" borderId="0" xfId="0" applyNumberFormat="1" applyFont="1" applyFill="1" applyAlignment="1">
      <alignment horizontal="right" vertical="center" wrapText="1"/>
    </xf>
    <xf numFmtId="0" fontId="7" fillId="3" borderId="0" xfId="3" applyFont="1" applyFill="1" applyAlignment="1">
      <alignment horizontal="right" vertical="center" wrapText="1"/>
    </xf>
    <xf numFmtId="168" fontId="25" fillId="3" borderId="11" xfId="3" applyNumberFormat="1" applyFont="1" applyFill="1" applyBorder="1" applyAlignment="1">
      <alignment horizontal="right" vertical="center" wrapText="1"/>
    </xf>
    <xf numFmtId="168" fontId="25" fillId="3" borderId="9" xfId="3" applyNumberFormat="1" applyFont="1" applyFill="1" applyBorder="1" applyAlignment="1">
      <alignment horizontal="right" vertical="center" wrapText="1"/>
    </xf>
    <xf numFmtId="168" fontId="23" fillId="3" borderId="11" xfId="3" applyNumberFormat="1" applyFont="1" applyFill="1" applyBorder="1" applyAlignment="1">
      <alignment vertical="center" wrapText="1"/>
    </xf>
    <xf numFmtId="168" fontId="23" fillId="3" borderId="9" xfId="3" applyNumberFormat="1" applyFont="1" applyFill="1" applyBorder="1" applyAlignment="1">
      <alignment horizontal="right" vertical="center" wrapText="1"/>
    </xf>
    <xf numFmtId="168" fontId="27" fillId="3" borderId="13" xfId="0" applyNumberFormat="1" applyFont="1" applyFill="1" applyBorder="1" applyAlignment="1">
      <alignment horizontal="right" vertical="center" wrapText="1"/>
    </xf>
    <xf numFmtId="4" fontId="25" fillId="3" borderId="9" xfId="3" applyNumberFormat="1" applyFont="1" applyFill="1" applyBorder="1" applyAlignment="1">
      <alignment horizontal="right" vertical="center" wrapText="1"/>
    </xf>
    <xf numFmtId="4" fontId="27" fillId="3" borderId="10" xfId="0" applyNumberFormat="1" applyFont="1" applyFill="1" applyBorder="1" applyAlignment="1">
      <alignment horizontal="right" vertical="center" wrapText="1"/>
    </xf>
    <xf numFmtId="10" fontId="25" fillId="3" borderId="9" xfId="3" applyNumberFormat="1" applyFont="1" applyFill="1" applyBorder="1" applyAlignment="1">
      <alignment horizontal="right" vertical="center" wrapText="1"/>
    </xf>
    <xf numFmtId="10" fontId="23" fillId="3" borderId="9" xfId="3" applyNumberFormat="1" applyFont="1" applyFill="1" applyBorder="1" applyAlignment="1">
      <alignment horizontal="right" vertical="center" wrapText="1"/>
    </xf>
    <xf numFmtId="10" fontId="27" fillId="3" borderId="10" xfId="0" applyNumberFormat="1" applyFont="1" applyFill="1" applyBorder="1" applyAlignment="1">
      <alignment horizontal="right" vertical="center" wrapText="1"/>
    </xf>
    <xf numFmtId="4" fontId="23" fillId="3" borderId="9" xfId="3" applyNumberFormat="1" applyFont="1" applyFill="1" applyBorder="1" applyAlignment="1">
      <alignment horizontal="right" vertical="center" wrapText="1"/>
    </xf>
    <xf numFmtId="170" fontId="25" fillId="3" borderId="9" xfId="3" applyNumberFormat="1" applyFont="1" applyFill="1" applyBorder="1" applyAlignment="1">
      <alignment horizontal="right" vertical="center" wrapText="1"/>
    </xf>
    <xf numFmtId="170" fontId="23" fillId="3" borderId="9" xfId="3" applyNumberFormat="1" applyFont="1" applyFill="1" applyBorder="1" applyAlignment="1">
      <alignment horizontal="right" vertical="center" wrapText="1"/>
    </xf>
    <xf numFmtId="170" fontId="27" fillId="3" borderId="10" xfId="0" applyNumberFormat="1" applyFont="1" applyFill="1" applyBorder="1" applyAlignment="1">
      <alignment horizontal="right" vertical="center" wrapText="1"/>
    </xf>
    <xf numFmtId="167" fontId="23" fillId="3" borderId="9" xfId="8" applyNumberFormat="1" applyFont="1" applyFill="1" applyBorder="1" applyAlignment="1">
      <alignment horizontal="left" vertical="center" wrapText="1"/>
    </xf>
    <xf numFmtId="167" fontId="23" fillId="3" borderId="9" xfId="8" applyNumberFormat="1" applyFont="1" applyFill="1" applyBorder="1" applyAlignment="1">
      <alignment horizontal="right" vertical="center" wrapText="1"/>
    </xf>
    <xf numFmtId="0" fontId="25" fillId="3" borderId="10" xfId="3" applyFont="1" applyFill="1" applyBorder="1" applyAlignment="1">
      <alignment vertical="center" wrapText="1"/>
    </xf>
    <xf numFmtId="167" fontId="23" fillId="3" borderId="10" xfId="8" applyNumberFormat="1" applyFont="1" applyFill="1" applyBorder="1" applyAlignment="1">
      <alignment horizontal="left" vertical="center" wrapText="1"/>
    </xf>
    <xf numFmtId="167" fontId="23" fillId="3" borderId="10" xfId="8" applyNumberFormat="1" applyFont="1" applyFill="1" applyBorder="1" applyAlignment="1">
      <alignment horizontal="right" vertical="center" wrapText="1"/>
    </xf>
    <xf numFmtId="0" fontId="25" fillId="3" borderId="8" xfId="3" applyFont="1" applyFill="1" applyBorder="1" applyAlignment="1">
      <alignment vertical="center" wrapText="1"/>
    </xf>
    <xf numFmtId="170" fontId="25" fillId="3" borderId="8" xfId="3" applyNumberFormat="1" applyFont="1" applyFill="1" applyBorder="1" applyAlignment="1">
      <alignment horizontal="right" vertical="center" wrapText="1"/>
    </xf>
    <xf numFmtId="170" fontId="27" fillId="3" borderId="9" xfId="0" applyNumberFormat="1" applyFont="1" applyFill="1" applyBorder="1" applyAlignment="1">
      <alignment horizontal="right" vertical="center" wrapText="1"/>
    </xf>
    <xf numFmtId="170" fontId="23" fillId="3" borderId="0" xfId="3" applyNumberFormat="1" applyFont="1" applyFill="1" applyAlignment="1">
      <alignment horizontal="right" vertical="center" wrapText="1"/>
    </xf>
    <xf numFmtId="10" fontId="23" fillId="3" borderId="10" xfId="3" applyNumberFormat="1" applyFont="1" applyFill="1" applyBorder="1" applyAlignment="1">
      <alignment horizontal="right" vertical="center" wrapText="1"/>
    </xf>
    <xf numFmtId="170" fontId="5" fillId="3" borderId="9" xfId="3" applyNumberFormat="1" applyFont="1" applyFill="1" applyBorder="1" applyAlignment="1">
      <alignment horizontal="right" vertical="center" wrapText="1"/>
    </xf>
    <xf numFmtId="170" fontId="12" fillId="3" borderId="10" xfId="0" applyNumberFormat="1" applyFont="1" applyFill="1" applyBorder="1" applyAlignment="1">
      <alignment horizontal="right" vertical="center" wrapText="1"/>
    </xf>
    <xf numFmtId="3" fontId="25" fillId="3" borderId="11" xfId="3" applyNumberFormat="1" applyFont="1" applyFill="1" applyBorder="1" applyAlignment="1">
      <alignment horizontal="right" vertical="center" wrapText="1"/>
    </xf>
    <xf numFmtId="3" fontId="23" fillId="3" borderId="11" xfId="3" applyNumberFormat="1" applyFont="1" applyFill="1" applyBorder="1" applyAlignment="1">
      <alignment horizontal="right" vertical="center" wrapText="1"/>
    </xf>
    <xf numFmtId="3" fontId="27" fillId="3" borderId="13" xfId="0" applyNumberFormat="1" applyFont="1" applyFill="1" applyBorder="1" applyAlignment="1">
      <alignment horizontal="right" vertical="center" wrapText="1"/>
    </xf>
    <xf numFmtId="49" fontId="23" fillId="3" borderId="9" xfId="3" applyNumberFormat="1" applyFont="1" applyFill="1" applyBorder="1" applyAlignment="1">
      <alignment horizontal="right" vertical="center" wrapText="1"/>
    </xf>
    <xf numFmtId="49" fontId="27" fillId="3" borderId="10" xfId="0" applyNumberFormat="1" applyFont="1" applyFill="1" applyBorder="1" applyAlignment="1">
      <alignment horizontal="right" vertical="center" wrapText="1"/>
    </xf>
    <xf numFmtId="3" fontId="27" fillId="3" borderId="0" xfId="0" applyNumberFormat="1" applyFont="1" applyFill="1" applyAlignment="1">
      <alignment vertical="center" wrapText="1"/>
    </xf>
    <xf numFmtId="0" fontId="28" fillId="3" borderId="0" xfId="2" applyFont="1" applyFill="1" applyAlignment="1">
      <alignment vertical="center" wrapText="1"/>
    </xf>
    <xf numFmtId="3" fontId="23" fillId="3" borderId="10" xfId="3" applyNumberFormat="1" applyFont="1" applyFill="1" applyBorder="1" applyAlignment="1">
      <alignment horizontal="right" vertical="center" wrapText="1"/>
    </xf>
    <xf numFmtId="0" fontId="13" fillId="3" borderId="0" xfId="0" applyFont="1" applyFill="1" applyAlignment="1">
      <alignment vertical="center"/>
    </xf>
    <xf numFmtId="0" fontId="0" fillId="3" borderId="0" xfId="0" applyFill="1" applyAlignment="1">
      <alignment vertical="center" wrapText="1"/>
    </xf>
    <xf numFmtId="3" fontId="23" fillId="3" borderId="9" xfId="3" applyNumberFormat="1" applyFont="1" applyFill="1" applyBorder="1" applyAlignment="1">
      <alignment vertical="center" wrapText="1"/>
    </xf>
    <xf numFmtId="0" fontId="0" fillId="11" borderId="0" xfId="0" applyFill="1"/>
    <xf numFmtId="0" fontId="22" fillId="10" borderId="42" xfId="3" applyFont="1" applyFill="1" applyBorder="1" applyAlignment="1">
      <alignment horizontal="right" vertical="center" wrapText="1"/>
    </xf>
    <xf numFmtId="0" fontId="22" fillId="10" borderId="43" xfId="3" applyFont="1" applyFill="1" applyBorder="1" applyAlignment="1">
      <alignment horizontal="right" vertical="center" wrapText="1"/>
    </xf>
    <xf numFmtId="0" fontId="48" fillId="3" borderId="44" xfId="3" applyFont="1" applyFill="1" applyBorder="1" applyAlignment="1">
      <alignment horizontal="left" vertical="center" wrapText="1"/>
    </xf>
    <xf numFmtId="169" fontId="50" fillId="3" borderId="45" xfId="3" applyNumberFormat="1" applyFont="1" applyFill="1" applyBorder="1" applyAlignment="1">
      <alignment horizontal="right" vertical="center" wrapText="1"/>
    </xf>
    <xf numFmtId="169" fontId="25" fillId="3" borderId="45" xfId="3" applyNumberFormat="1" applyFont="1" applyFill="1" applyBorder="1" applyAlignment="1">
      <alignment horizontal="right" vertical="center" wrapText="1"/>
    </xf>
    <xf numFmtId="10" fontId="25" fillId="3" borderId="45" xfId="3" applyNumberFormat="1" applyFont="1" applyFill="1" applyBorder="1" applyAlignment="1">
      <alignment horizontal="right" vertical="center" wrapText="1"/>
    </xf>
    <xf numFmtId="169" fontId="23" fillId="3" borderId="45" xfId="3" applyNumberFormat="1" applyFont="1" applyFill="1" applyBorder="1" applyAlignment="1">
      <alignment horizontal="right" vertical="center" wrapText="1"/>
    </xf>
    <xf numFmtId="169" fontId="23" fillId="3" borderId="49" xfId="3" applyNumberFormat="1" applyFont="1" applyFill="1" applyBorder="1" applyAlignment="1">
      <alignment horizontal="right" vertical="center" wrapText="1"/>
    </xf>
    <xf numFmtId="169" fontId="23" fillId="3" borderId="50" xfId="3" applyNumberFormat="1" applyFont="1" applyFill="1" applyBorder="1" applyAlignment="1">
      <alignment horizontal="right" vertical="center" wrapText="1"/>
    </xf>
    <xf numFmtId="171" fontId="1" fillId="0" borderId="0" xfId="1" applyNumberFormat="1" applyFont="1"/>
    <xf numFmtId="171" fontId="1" fillId="12" borderId="0" xfId="1" applyNumberFormat="1" applyFont="1" applyFill="1"/>
    <xf numFmtId="171" fontId="1" fillId="0" borderId="48" xfId="1" applyNumberFormat="1" applyFont="1" applyBorder="1"/>
    <xf numFmtId="169" fontId="50" fillId="12" borderId="32" xfId="3" applyNumberFormat="1" applyFont="1" applyFill="1" applyBorder="1" applyAlignment="1">
      <alignment horizontal="right" vertical="center" wrapText="1"/>
    </xf>
    <xf numFmtId="0" fontId="51" fillId="0" borderId="0" xfId="3" applyFont="1" applyAlignment="1">
      <alignment vertical="center"/>
    </xf>
    <xf numFmtId="9" fontId="34" fillId="0" borderId="0" xfId="3" applyNumberFormat="1" applyFont="1"/>
    <xf numFmtId="0" fontId="52" fillId="3" borderId="0" xfId="0" applyFont="1" applyFill="1"/>
    <xf numFmtId="0" fontId="52" fillId="3" borderId="0" xfId="0" applyFont="1" applyFill="1" applyAlignment="1">
      <alignment vertical="center"/>
    </xf>
    <xf numFmtId="2" fontId="27" fillId="3" borderId="0" xfId="0" applyNumberFormat="1" applyFont="1" applyFill="1" applyAlignment="1">
      <alignment vertical="center"/>
    </xf>
    <xf numFmtId="2" fontId="19" fillId="6" borderId="0" xfId="0" applyNumberFormat="1" applyFont="1" applyFill="1" applyAlignment="1">
      <alignment vertical="center"/>
    </xf>
    <xf numFmtId="2" fontId="22" fillId="5" borderId="8" xfId="3" applyNumberFormat="1" applyFont="1" applyFill="1" applyBorder="1" applyAlignment="1">
      <alignment horizontal="right" vertical="center" wrapText="1"/>
    </xf>
    <xf numFmtId="3" fontId="27" fillId="3" borderId="0" xfId="0" applyNumberFormat="1" applyFont="1" applyFill="1" applyAlignment="1">
      <alignment horizontal="right" vertical="center" wrapText="1"/>
    </xf>
    <xf numFmtId="0" fontId="31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/>
    </xf>
    <xf numFmtId="0" fontId="31" fillId="3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4" fillId="3" borderId="0" xfId="2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5" fillId="3" borderId="9" xfId="3" applyNumberFormat="1" applyFont="1" applyFill="1" applyBorder="1" applyAlignment="1">
      <alignment vertical="center" wrapText="1"/>
    </xf>
    <xf numFmtId="3" fontId="19" fillId="3" borderId="9" xfId="0" applyNumberFormat="1" applyFont="1" applyFill="1" applyBorder="1"/>
    <xf numFmtId="3" fontId="27" fillId="3" borderId="9" xfId="0" applyNumberFormat="1" applyFont="1" applyFill="1" applyBorder="1"/>
    <xf numFmtId="3" fontId="27" fillId="3" borderId="10" xfId="0" applyNumberFormat="1" applyFont="1" applyFill="1" applyBorder="1"/>
    <xf numFmtId="0" fontId="19" fillId="3" borderId="9" xfId="0" applyFont="1" applyFill="1" applyBorder="1" applyAlignment="1">
      <alignment horizontal="right"/>
    </xf>
    <xf numFmtId="0" fontId="27" fillId="3" borderId="9" xfId="0" applyFont="1" applyFill="1" applyBorder="1" applyAlignment="1">
      <alignment horizontal="right"/>
    </xf>
    <xf numFmtId="0" fontId="27" fillId="3" borderId="10" xfId="0" applyFont="1" applyFill="1" applyBorder="1" applyAlignment="1">
      <alignment horizontal="right"/>
    </xf>
    <xf numFmtId="4" fontId="19" fillId="3" borderId="9" xfId="0" applyNumberFormat="1" applyFont="1" applyFill="1" applyBorder="1" applyAlignment="1">
      <alignment horizontal="right"/>
    </xf>
    <xf numFmtId="4" fontId="27" fillId="3" borderId="9" xfId="0" applyNumberFormat="1" applyFont="1" applyFill="1" applyBorder="1" applyAlignment="1">
      <alignment horizontal="right"/>
    </xf>
    <xf numFmtId="4" fontId="27" fillId="3" borderId="10" xfId="0" applyNumberFormat="1" applyFont="1" applyFill="1" applyBorder="1" applyAlignment="1">
      <alignment horizontal="right"/>
    </xf>
    <xf numFmtId="167" fontId="25" fillId="3" borderId="9" xfId="3" applyNumberFormat="1" applyFont="1" applyFill="1" applyBorder="1" applyAlignment="1">
      <alignment horizontal="right" vertical="center" wrapText="1"/>
    </xf>
    <xf numFmtId="0" fontId="19" fillId="3" borderId="9" xfId="0" applyFont="1" applyFill="1" applyBorder="1" applyAlignment="1">
      <alignment horizontal="right" vertical="center"/>
    </xf>
    <xf numFmtId="2" fontId="27" fillId="3" borderId="9" xfId="0" applyNumberFormat="1" applyFont="1" applyFill="1" applyBorder="1" applyAlignment="1">
      <alignment horizontal="right"/>
    </xf>
    <xf numFmtId="2" fontId="27" fillId="3" borderId="10" xfId="0" applyNumberFormat="1" applyFont="1" applyFill="1" applyBorder="1" applyAlignment="1">
      <alignment horizontal="right"/>
    </xf>
    <xf numFmtId="2" fontId="27" fillId="3" borderId="9" xfId="0" applyNumberFormat="1" applyFont="1" applyFill="1" applyBorder="1"/>
    <xf numFmtId="2" fontId="27" fillId="3" borderId="10" xfId="0" applyNumberFormat="1" applyFont="1" applyFill="1" applyBorder="1"/>
    <xf numFmtId="168" fontId="19" fillId="3" borderId="9" xfId="0" applyNumberFormat="1" applyFont="1" applyFill="1" applyBorder="1"/>
    <xf numFmtId="168" fontId="27" fillId="3" borderId="9" xfId="0" applyNumberFormat="1" applyFont="1" applyFill="1" applyBorder="1"/>
    <xf numFmtId="168" fontId="27" fillId="3" borderId="10" xfId="0" applyNumberFormat="1" applyFont="1" applyFill="1" applyBorder="1"/>
    <xf numFmtId="167" fontId="27" fillId="3" borderId="9" xfId="0" applyNumberFormat="1" applyFont="1" applyFill="1" applyBorder="1"/>
    <xf numFmtId="167" fontId="27" fillId="3" borderId="10" xfId="0" applyNumberFormat="1" applyFont="1" applyFill="1" applyBorder="1"/>
    <xf numFmtId="4" fontId="23" fillId="3" borderId="9" xfId="3" applyNumberFormat="1" applyFont="1" applyFill="1" applyBorder="1" applyAlignment="1">
      <alignment vertical="center" wrapText="1"/>
    </xf>
    <xf numFmtId="165" fontId="54" fillId="0" borderId="18" xfId="1" applyNumberFormat="1" applyFont="1" applyBorder="1"/>
    <xf numFmtId="165" fontId="0" fillId="0" borderId="17" xfId="1" applyNumberFormat="1" applyFont="1" applyBorder="1"/>
    <xf numFmtId="1" fontId="54" fillId="0" borderId="18" xfId="0" applyNumberFormat="1" applyFont="1" applyBorder="1"/>
    <xf numFmtId="3" fontId="0" fillId="0" borderId="17" xfId="0" applyNumberFormat="1" applyBorder="1"/>
    <xf numFmtId="3" fontId="54" fillId="0" borderId="18" xfId="0" applyNumberFormat="1" applyFont="1" applyBorder="1"/>
    <xf numFmtId="2" fontId="23" fillId="3" borderId="9" xfId="3" applyNumberFormat="1" applyFont="1" applyFill="1" applyBorder="1" applyAlignment="1">
      <alignment horizontal="right" vertical="center" wrapText="1"/>
    </xf>
    <xf numFmtId="172" fontId="23" fillId="0" borderId="17" xfId="3" applyNumberFormat="1" applyFont="1" applyBorder="1" applyAlignment="1">
      <alignment horizontal="right" vertical="center" wrapText="1"/>
    </xf>
    <xf numFmtId="172" fontId="25" fillId="0" borderId="24" xfId="3" applyNumberFormat="1" applyFont="1" applyBorder="1" applyAlignment="1">
      <alignment horizontal="right" vertical="center" wrapText="1"/>
    </xf>
    <xf numFmtId="0" fontId="31" fillId="3" borderId="0" xfId="0" applyFont="1" applyFill="1" applyAlignment="1">
      <alignment horizontal="left" vertical="top" wrapText="1"/>
    </xf>
    <xf numFmtId="0" fontId="22" fillId="5" borderId="12" xfId="3" applyFont="1" applyFill="1" applyBorder="1" applyAlignment="1">
      <alignment horizontal="left" vertical="center" wrapText="1"/>
    </xf>
    <xf numFmtId="0" fontId="22" fillId="5" borderId="5" xfId="3" applyFont="1" applyFill="1" applyBorder="1" applyAlignment="1">
      <alignment horizontal="left" vertical="center" wrapText="1"/>
    </xf>
    <xf numFmtId="2" fontId="23" fillId="3" borderId="11" xfId="3" applyNumberFormat="1" applyFont="1" applyFill="1" applyBorder="1" applyAlignment="1">
      <alignment horizontal="left" vertical="center" wrapText="1"/>
    </xf>
    <xf numFmtId="2" fontId="23" fillId="3" borderId="6" xfId="3" applyNumberFormat="1" applyFont="1" applyFill="1" applyBorder="1" applyAlignment="1">
      <alignment horizontal="left" vertical="center" wrapText="1"/>
    </xf>
    <xf numFmtId="2" fontId="23" fillId="3" borderId="13" xfId="3" applyNumberFormat="1" applyFont="1" applyFill="1" applyBorder="1" applyAlignment="1">
      <alignment horizontal="left" vertical="center" wrapText="1"/>
    </xf>
    <xf numFmtId="2" fontId="23" fillId="3" borderId="7" xfId="3" applyNumberFormat="1" applyFont="1" applyFill="1" applyBorder="1" applyAlignment="1">
      <alignment horizontal="left" vertical="center" wrapText="1"/>
    </xf>
    <xf numFmtId="0" fontId="23" fillId="0" borderId="10" xfId="3" applyFont="1" applyBorder="1" applyAlignment="1">
      <alignment horizontal="left" vertical="center" wrapText="1"/>
    </xf>
    <xf numFmtId="0" fontId="22" fillId="5" borderId="4" xfId="3" applyFont="1" applyFill="1" applyBorder="1" applyAlignment="1">
      <alignment horizontal="center" vertical="center" wrapText="1"/>
    </xf>
    <xf numFmtId="0" fontId="22" fillId="5" borderId="14" xfId="3" applyFont="1" applyFill="1" applyBorder="1" applyAlignment="1">
      <alignment horizontal="center" vertical="center" wrapText="1"/>
    </xf>
    <xf numFmtId="0" fontId="22" fillId="5" borderId="15" xfId="3" applyFont="1" applyFill="1" applyBorder="1" applyAlignment="1">
      <alignment horizontal="center" vertical="center" wrapText="1"/>
    </xf>
    <xf numFmtId="0" fontId="23" fillId="3" borderId="13" xfId="3" applyFont="1" applyFill="1" applyBorder="1" applyAlignment="1">
      <alignment horizontal="left" vertical="center" wrapText="1"/>
    </xf>
    <xf numFmtId="0" fontId="23" fillId="3" borderId="7" xfId="3" applyFont="1" applyFill="1" applyBorder="1" applyAlignment="1">
      <alignment horizontal="left" vertical="center" wrapText="1"/>
    </xf>
    <xf numFmtId="0" fontId="23" fillId="3" borderId="11" xfId="3" applyFont="1" applyFill="1" applyBorder="1" applyAlignment="1">
      <alignment horizontal="left" vertical="center" wrapText="1"/>
    </xf>
    <xf numFmtId="0" fontId="23" fillId="3" borderId="6" xfId="3" applyFont="1" applyFill="1" applyBorder="1" applyAlignment="1">
      <alignment horizontal="left" vertical="center" wrapText="1"/>
    </xf>
    <xf numFmtId="0" fontId="22" fillId="5" borderId="8" xfId="3" applyFont="1" applyFill="1" applyBorder="1" applyAlignment="1">
      <alignment horizontal="center" vertical="center" wrapText="1"/>
    </xf>
    <xf numFmtId="0" fontId="22" fillId="5" borderId="9" xfId="3" applyFont="1" applyFill="1" applyBorder="1" applyAlignment="1">
      <alignment horizontal="center" vertical="center" wrapText="1"/>
    </xf>
    <xf numFmtId="0" fontId="22" fillId="5" borderId="8" xfId="3" applyFont="1" applyFill="1" applyBorder="1" applyAlignment="1">
      <alignment horizontal="left" vertical="center" wrapText="1"/>
    </xf>
    <xf numFmtId="0" fontId="25" fillId="3" borderId="11" xfId="3" applyFont="1" applyFill="1" applyBorder="1" applyAlignment="1">
      <alignment horizontal="left" vertical="center" wrapText="1"/>
    </xf>
    <xf numFmtId="0" fontId="25" fillId="3" borderId="6" xfId="3" applyFont="1" applyFill="1" applyBorder="1" applyAlignment="1">
      <alignment horizontal="left" vertical="center" wrapText="1"/>
    </xf>
    <xf numFmtId="0" fontId="23" fillId="3" borderId="9" xfId="3" applyFont="1" applyFill="1" applyBorder="1" applyAlignment="1">
      <alignment horizontal="left" vertical="center" wrapText="1"/>
    </xf>
    <xf numFmtId="0" fontId="23" fillId="3" borderId="10" xfId="3" applyFont="1" applyFill="1" applyBorder="1" applyAlignment="1">
      <alignment horizontal="left" vertical="center" wrapText="1"/>
    </xf>
    <xf numFmtId="0" fontId="23" fillId="0" borderId="0" xfId="3" applyFont="1" applyAlignment="1">
      <alignment vertical="center" wrapText="1"/>
    </xf>
    <xf numFmtId="0" fontId="23" fillId="0" borderId="24" xfId="3" applyFont="1" applyBorder="1" applyAlignment="1">
      <alignment horizontal="left" vertical="center" wrapText="1"/>
    </xf>
    <xf numFmtId="0" fontId="23" fillId="0" borderId="22" xfId="3" applyFont="1" applyBorder="1" applyAlignment="1">
      <alignment horizontal="left" vertical="center" wrapText="1"/>
    </xf>
    <xf numFmtId="0" fontId="22" fillId="8" borderId="16" xfId="3" applyFont="1" applyFill="1" applyBorder="1" applyAlignment="1">
      <alignment vertical="center" wrapText="1"/>
    </xf>
    <xf numFmtId="0" fontId="22" fillId="8" borderId="18" xfId="3" applyFont="1" applyFill="1" applyBorder="1" applyAlignment="1">
      <alignment vertical="center" wrapText="1"/>
    </xf>
    <xf numFmtId="0" fontId="22" fillId="8" borderId="19" xfId="3" applyFont="1" applyFill="1" applyBorder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0" fontId="22" fillId="8" borderId="26" xfId="3" applyFont="1" applyFill="1" applyBorder="1" applyAlignment="1">
      <alignment horizontal="left" vertical="center" wrapText="1"/>
    </xf>
    <xf numFmtId="0" fontId="22" fillId="8" borderId="20" xfId="3" applyFont="1" applyFill="1" applyBorder="1" applyAlignment="1">
      <alignment horizontal="left" vertical="center" wrapText="1"/>
    </xf>
    <xf numFmtId="0" fontId="23" fillId="0" borderId="23" xfId="3" applyFont="1" applyBorder="1" applyAlignment="1">
      <alignment horizontal="left" vertical="center" wrapText="1"/>
    </xf>
    <xf numFmtId="0" fontId="23" fillId="0" borderId="21" xfId="3" applyFont="1" applyBorder="1" applyAlignment="1">
      <alignment horizontal="left" vertical="center" wrapText="1"/>
    </xf>
    <xf numFmtId="0" fontId="23" fillId="0" borderId="17" xfId="3" applyFont="1" applyBorder="1" applyAlignment="1">
      <alignment horizontal="center" vertical="center" wrapText="1"/>
    </xf>
    <xf numFmtId="0" fontId="22" fillId="10" borderId="36" xfId="3" applyFont="1" applyFill="1" applyBorder="1" applyAlignment="1">
      <alignment horizontal="center" vertical="center" wrapText="1"/>
    </xf>
    <xf numFmtId="0" fontId="22" fillId="10" borderId="37" xfId="3" applyFont="1" applyFill="1" applyBorder="1" applyAlignment="1">
      <alignment horizontal="center" vertical="center" wrapText="1"/>
    </xf>
    <xf numFmtId="0" fontId="23" fillId="3" borderId="34" xfId="3" applyFont="1" applyFill="1" applyBorder="1" applyAlignment="1">
      <alignment horizontal="left" vertical="center" wrapText="1"/>
    </xf>
    <xf numFmtId="0" fontId="23" fillId="3" borderId="35" xfId="3" applyFont="1" applyFill="1" applyBorder="1" applyAlignment="1">
      <alignment horizontal="left" vertical="center" wrapText="1"/>
    </xf>
    <xf numFmtId="0" fontId="25" fillId="3" borderId="38" xfId="3" applyFont="1" applyFill="1" applyBorder="1" applyAlignment="1">
      <alignment horizontal="left" vertical="center" wrapText="1"/>
    </xf>
    <xf numFmtId="0" fontId="25" fillId="3" borderId="39" xfId="3" applyFont="1" applyFill="1" applyBorder="1" applyAlignment="1">
      <alignment horizontal="left" vertical="center" wrapText="1"/>
    </xf>
    <xf numFmtId="0" fontId="22" fillId="10" borderId="40" xfId="3" applyFont="1" applyFill="1" applyBorder="1" applyAlignment="1">
      <alignment horizontal="center" vertical="center" wrapText="1"/>
    </xf>
    <xf numFmtId="0" fontId="22" fillId="10" borderId="41" xfId="3" applyFont="1" applyFill="1" applyBorder="1" applyAlignment="1">
      <alignment horizontal="center" vertical="center" wrapText="1"/>
    </xf>
    <xf numFmtId="0" fontId="25" fillId="3" borderId="44" xfId="3" applyFont="1" applyFill="1" applyBorder="1" applyAlignment="1">
      <alignment horizontal="left" vertical="center" wrapText="1"/>
    </xf>
    <xf numFmtId="0" fontId="25" fillId="3" borderId="35" xfId="3" applyFont="1" applyFill="1" applyBorder="1" applyAlignment="1">
      <alignment horizontal="left" vertical="center" wrapText="1"/>
    </xf>
    <xf numFmtId="0" fontId="23" fillId="3" borderId="44" xfId="3" applyFont="1" applyFill="1" applyBorder="1" applyAlignment="1">
      <alignment horizontal="left" vertical="center" wrapText="1"/>
    </xf>
    <xf numFmtId="0" fontId="23" fillId="3" borderId="46" xfId="3" applyFont="1" applyFill="1" applyBorder="1" applyAlignment="1">
      <alignment horizontal="left" vertical="center" wrapText="1"/>
    </xf>
    <xf numFmtId="0" fontId="23" fillId="3" borderId="47" xfId="3" applyFont="1" applyFill="1" applyBorder="1" applyAlignment="1">
      <alignment horizontal="left" vertical="center" wrapText="1"/>
    </xf>
  </cellXfs>
  <cellStyles count="91">
    <cellStyle name="Comma" xfId="1" builtinId="3"/>
    <cellStyle name="Followed Hyperlink" xfId="49" builtinId="9" hidden="1"/>
    <cellStyle name="Followed Hyperlink" xfId="34" builtinId="9" hidden="1"/>
    <cellStyle name="Followed Hyperlink" xfId="20" builtinId="9" hidden="1"/>
    <cellStyle name="Followed Hyperlink" xfId="57" builtinId="9" hidden="1"/>
    <cellStyle name="Followed Hyperlink" xfId="11" builtinId="9" hidden="1"/>
    <cellStyle name="Followed Hyperlink" xfId="80" builtinId="9" hidden="1"/>
    <cellStyle name="Followed Hyperlink" xfId="54" builtinId="9" hidden="1"/>
    <cellStyle name="Followed Hyperlink" xfId="25" builtinId="9" hidden="1"/>
    <cellStyle name="Followed Hyperlink" xfId="90" builtinId="9" hidden="1"/>
    <cellStyle name="Followed Hyperlink" xfId="71" builtinId="9" hidden="1"/>
    <cellStyle name="Followed Hyperlink" xfId="61" builtinId="9" hidden="1"/>
    <cellStyle name="Followed Hyperlink" xfId="30" builtinId="9" hidden="1"/>
    <cellStyle name="Followed Hyperlink" xfId="7" builtinId="9" hidden="1"/>
    <cellStyle name="Followed Hyperlink" xfId="47" builtinId="9" hidden="1"/>
    <cellStyle name="Followed Hyperlink" xfId="72" builtinId="9" hidden="1"/>
    <cellStyle name="Followed Hyperlink" xfId="65" builtinId="9" hidden="1"/>
    <cellStyle name="Followed Hyperlink" xfId="27" builtinId="9" hidden="1"/>
    <cellStyle name="Followed Hyperlink" xfId="16" builtinId="9" hidden="1"/>
    <cellStyle name="Followed Hyperlink" xfId="42" builtinId="9" hidden="1"/>
    <cellStyle name="Followed Hyperlink" xfId="35" builtinId="9" hidden="1"/>
    <cellStyle name="Followed Hyperlink" xfId="87" builtinId="9" hidden="1"/>
    <cellStyle name="Followed Hyperlink" xfId="9" builtinId="9" hidden="1"/>
    <cellStyle name="Followed Hyperlink" xfId="67" builtinId="9" hidden="1"/>
    <cellStyle name="Followed Hyperlink" xfId="76" builtinId="9" hidden="1"/>
    <cellStyle name="Followed Hyperlink" xfId="84" builtinId="9" hidden="1"/>
    <cellStyle name="Followed Hyperlink" xfId="10" builtinId="9" hidden="1"/>
    <cellStyle name="Followed Hyperlink" xfId="12" builtinId="9" hidden="1"/>
    <cellStyle name="Followed Hyperlink" xfId="40" builtinId="9" hidden="1"/>
    <cellStyle name="Followed Hyperlink" xfId="17" builtinId="9" hidden="1"/>
    <cellStyle name="Followed Hyperlink" xfId="56" builtinId="9" hidden="1"/>
    <cellStyle name="Followed Hyperlink" xfId="19" builtinId="9" hidden="1"/>
    <cellStyle name="Followed Hyperlink" xfId="29" builtinId="9" hidden="1"/>
    <cellStyle name="Followed Hyperlink" xfId="64" builtinId="9" hidden="1"/>
    <cellStyle name="Followed Hyperlink" xfId="55" builtinId="9" hidden="1"/>
    <cellStyle name="Followed Hyperlink" xfId="37" builtinId="9" hidden="1"/>
    <cellStyle name="Followed Hyperlink" xfId="85" builtinId="9" hidden="1"/>
    <cellStyle name="Followed Hyperlink" xfId="89" builtinId="9" hidden="1"/>
    <cellStyle name="Followed Hyperlink" xfId="68" builtinId="9" hidden="1"/>
    <cellStyle name="Followed Hyperlink" xfId="36" builtinId="9" hidden="1"/>
    <cellStyle name="Followed Hyperlink" xfId="39" builtinId="9" hidden="1"/>
    <cellStyle name="Followed Hyperlink" xfId="38" builtinId="9" hidden="1"/>
    <cellStyle name="Followed Hyperlink" xfId="50" builtinId="9" hidden="1"/>
    <cellStyle name="Followed Hyperlink" xfId="21" builtinId="9" hidden="1"/>
    <cellStyle name="Followed Hyperlink" xfId="15" builtinId="9" hidden="1"/>
    <cellStyle name="Followed Hyperlink" xfId="23" builtinId="9" hidden="1"/>
    <cellStyle name="Followed Hyperlink" xfId="45" builtinId="9" hidden="1"/>
    <cellStyle name="Followed Hyperlink" xfId="51" builtinId="9" hidden="1"/>
    <cellStyle name="Followed Hyperlink" xfId="78" builtinId="9" hidden="1"/>
    <cellStyle name="Followed Hyperlink" xfId="63" builtinId="9" hidden="1"/>
    <cellStyle name="Followed Hyperlink" xfId="4" builtinId="9" hidden="1"/>
    <cellStyle name="Followed Hyperlink" xfId="74" builtinId="9" hidden="1"/>
    <cellStyle name="Followed Hyperlink" xfId="32" builtinId="9" hidden="1"/>
    <cellStyle name="Followed Hyperlink" xfId="58" builtinId="9" hidden="1"/>
    <cellStyle name="Followed Hyperlink" xfId="18" builtinId="9" hidden="1"/>
    <cellStyle name="Followed Hyperlink" xfId="70" builtinId="9" hidden="1"/>
    <cellStyle name="Followed Hyperlink" xfId="88" builtinId="9" hidden="1"/>
    <cellStyle name="Followed Hyperlink" xfId="53" builtinId="9" hidden="1"/>
    <cellStyle name="Followed Hyperlink" xfId="44" builtinId="9" hidden="1"/>
    <cellStyle name="Followed Hyperlink" xfId="77" builtinId="9" hidden="1"/>
    <cellStyle name="Followed Hyperlink" xfId="59" builtinId="9" hidden="1"/>
    <cellStyle name="Followed Hyperlink" xfId="75" builtinId="9" hidden="1"/>
    <cellStyle name="Followed Hyperlink" xfId="33" builtinId="9" hidden="1"/>
    <cellStyle name="Followed Hyperlink" xfId="81" builtinId="9" hidden="1"/>
    <cellStyle name="Followed Hyperlink" xfId="24" builtinId="9" hidden="1"/>
    <cellStyle name="Followed Hyperlink" xfId="28" builtinId="9" hidden="1"/>
    <cellStyle name="Followed Hyperlink" xfId="82" builtinId="9" hidden="1"/>
    <cellStyle name="Followed Hyperlink" xfId="5" builtinId="9" hidden="1"/>
    <cellStyle name="Followed Hyperlink" xfId="60" builtinId="9" hidden="1"/>
    <cellStyle name="Followed Hyperlink" xfId="14" builtinId="9" hidden="1"/>
    <cellStyle name="Followed Hyperlink" xfId="69" builtinId="9" hidden="1"/>
    <cellStyle name="Followed Hyperlink" xfId="79" builtinId="9" hidden="1"/>
    <cellStyle name="Followed Hyperlink" xfId="83" builtinId="9" hidden="1"/>
    <cellStyle name="Followed Hyperlink" xfId="43" builtinId="9" hidden="1"/>
    <cellStyle name="Followed Hyperlink" xfId="6" builtinId="9" hidden="1"/>
    <cellStyle name="Followed Hyperlink" xfId="22" builtinId="9" hidden="1"/>
    <cellStyle name="Followed Hyperlink" xfId="46" builtinId="9" hidden="1"/>
    <cellStyle name="Followed Hyperlink" xfId="86" builtinId="9" hidden="1"/>
    <cellStyle name="Followed Hyperlink" xfId="26" builtinId="9" hidden="1"/>
    <cellStyle name="Followed Hyperlink" xfId="66" builtinId="9" hidden="1"/>
    <cellStyle name="Followed Hyperlink" xfId="31" builtinId="9" hidden="1"/>
    <cellStyle name="Followed Hyperlink" xfId="41" builtinId="9" hidden="1"/>
    <cellStyle name="Followed Hyperlink" xfId="13" builtinId="9" hidden="1"/>
    <cellStyle name="Followed Hyperlink" xfId="62" builtinId="9" hidden="1"/>
    <cellStyle name="Followed Hyperlink" xfId="48" builtinId="9" hidden="1"/>
    <cellStyle name="Followed Hyperlink" xfId="73" builtinId="9" hidden="1"/>
    <cellStyle name="Followed Hyperlink" xfId="52" builtinId="9" hidden="1"/>
    <cellStyle name="Hyperlink" xfId="2" builtinId="8"/>
    <cellStyle name="Normal" xfId="0" builtinId="0"/>
    <cellStyle name="Normal_Sheet1" xfId="3" xr:uid="{00000000-0005-0000-0000-000059000000}"/>
    <cellStyle name="Percent" xfId="8" builtinId="5"/>
  </cellStyles>
  <dxfs count="0"/>
  <tableStyles count="0" defaultTableStyle="TableStyleMedium9" defaultPivotStyle="PivotStyleMedium4"/>
  <colors>
    <mruColors>
      <color rgb="FFFFEEB7"/>
      <color rgb="FFFFEE71"/>
      <color rgb="FF0076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etter Planet'!A1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hyperlink" Target="#'Better Business'!A1"/><Relationship Id="rId4" Type="http://schemas.openxmlformats.org/officeDocument/2006/relationships/hyperlink" Target="#'Better Communitie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523875</xdr:colOff>
      <xdr:row>5</xdr:row>
      <xdr:rowOff>104775</xdr:rowOff>
    </xdr:from>
    <xdr:to>
      <xdr:col>10</xdr:col>
      <xdr:colOff>419100</xdr:colOff>
      <xdr:row>25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1514475"/>
          <a:ext cx="4010025" cy="4010025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2</xdr:row>
      <xdr:rowOff>133349</xdr:rowOff>
    </xdr:from>
    <xdr:to>
      <xdr:col>4</xdr:col>
      <xdr:colOff>361951</xdr:colOff>
      <xdr:row>8</xdr:row>
      <xdr:rowOff>133350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2875" y="533399"/>
          <a:ext cx="2962276" cy="1200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3200" b="1">
              <a:solidFill>
                <a:srgbClr val="0076AA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Sustainability Framework</a:t>
          </a:r>
        </a:p>
      </xdr:txBody>
    </xdr:sp>
    <xdr:clientData/>
  </xdr:twoCellAnchor>
  <xdr:twoCellAnchor editAs="oneCell">
    <xdr:from>
      <xdr:col>0</xdr:col>
      <xdr:colOff>257176</xdr:colOff>
      <xdr:row>0</xdr:row>
      <xdr:rowOff>152402</xdr:rowOff>
    </xdr:from>
    <xdr:to>
      <xdr:col>2</xdr:col>
      <xdr:colOff>152400</xdr:colOff>
      <xdr:row>2</xdr:row>
      <xdr:rowOff>41717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6" y="152402"/>
          <a:ext cx="1266824" cy="289365"/>
        </a:xfrm>
        <a:prstGeom prst="rect">
          <a:avLst/>
        </a:prstGeom>
      </xdr:spPr>
    </xdr:pic>
    <xdr:clientData/>
  </xdr:twoCellAnchor>
  <xdr:twoCellAnchor>
    <xdr:from>
      <xdr:col>4</xdr:col>
      <xdr:colOff>523875</xdr:colOff>
      <xdr:row>7</xdr:row>
      <xdr:rowOff>180975</xdr:rowOff>
    </xdr:from>
    <xdr:to>
      <xdr:col>10</xdr:col>
      <xdr:colOff>342900</xdr:colOff>
      <xdr:row>26</xdr:row>
      <xdr:rowOff>171451</xdr:rowOff>
    </xdr:to>
    <xdr:sp macro="" textlink="">
      <xdr:nvSpPr>
        <xdr:cNvPr id="5" name="Pi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67075" y="1581150"/>
          <a:ext cx="3933825" cy="3790951"/>
        </a:xfrm>
        <a:prstGeom prst="pie">
          <a:avLst>
            <a:gd name="adj1" fmla="val 12664927"/>
            <a:gd name="adj2" fmla="val 19795921"/>
          </a:avLst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514350</xdr:colOff>
      <xdr:row>8</xdr:row>
      <xdr:rowOff>66675</xdr:rowOff>
    </xdr:from>
    <xdr:to>
      <xdr:col>10</xdr:col>
      <xdr:colOff>333375</xdr:colOff>
      <xdr:row>27</xdr:row>
      <xdr:rowOff>57151</xdr:rowOff>
    </xdr:to>
    <xdr:sp macro="" textlink="">
      <xdr:nvSpPr>
        <xdr:cNvPr id="6" name="Pi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257550" y="1666875"/>
          <a:ext cx="3933825" cy="3790951"/>
        </a:xfrm>
        <a:prstGeom prst="pie">
          <a:avLst>
            <a:gd name="adj1" fmla="val 5419207"/>
            <a:gd name="adj2" fmla="val 12672165"/>
          </a:avLst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600075</xdr:colOff>
      <xdr:row>8</xdr:row>
      <xdr:rowOff>47625</xdr:rowOff>
    </xdr:from>
    <xdr:to>
      <xdr:col>10</xdr:col>
      <xdr:colOff>419100</xdr:colOff>
      <xdr:row>27</xdr:row>
      <xdr:rowOff>38101</xdr:rowOff>
    </xdr:to>
    <xdr:sp macro="" textlink="">
      <xdr:nvSpPr>
        <xdr:cNvPr id="7" name="Pi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343275" y="1647825"/>
          <a:ext cx="3933825" cy="3790951"/>
        </a:xfrm>
        <a:prstGeom prst="pie">
          <a:avLst>
            <a:gd name="adj1" fmla="val 19842265"/>
            <a:gd name="adj2" fmla="val 5414272"/>
          </a:avLst>
        </a:prstGeom>
        <a:noFill/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581025</xdr:colOff>
      <xdr:row>2</xdr:row>
      <xdr:rowOff>142874</xdr:rowOff>
    </xdr:from>
    <xdr:to>
      <xdr:col>14</xdr:col>
      <xdr:colOff>533400</xdr:colOff>
      <xdr:row>7</xdr:row>
      <xdr:rowOff>28575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439025" y="542924"/>
          <a:ext cx="2695575" cy="1295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3200" b="1">
              <a:solidFill>
                <a:srgbClr val="0076AA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Five</a:t>
          </a:r>
          <a:r>
            <a:rPr lang="en-GB" sz="3200" b="1" baseline="0">
              <a:solidFill>
                <a:srgbClr val="0076AA"/>
              </a:solidFill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Year Report</a:t>
          </a:r>
          <a:endParaRPr lang="en-GB" sz="3200" b="1">
            <a:solidFill>
              <a:srgbClr val="0076AA"/>
            </a:solidFill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196850</xdr:colOff>
      <xdr:row>0</xdr:row>
      <xdr:rowOff>107950</xdr:rowOff>
    </xdr:from>
    <xdr:to>
      <xdr:col>11</xdr:col>
      <xdr:colOff>566187</xdr:colOff>
      <xdr:row>2</xdr:row>
      <xdr:rowOff>0</xdr:rowOff>
    </xdr:to>
    <xdr:pic>
      <xdr:nvPicPr>
        <xdr:cNvPr id="2" name="Picture 1" descr="clip_image002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7550" y="107950"/>
          <a:ext cx="1207537" cy="292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295275</xdr:colOff>
      <xdr:row>0</xdr:row>
      <xdr:rowOff>152400</xdr:rowOff>
    </xdr:from>
    <xdr:to>
      <xdr:col>11</xdr:col>
      <xdr:colOff>664612</xdr:colOff>
      <xdr:row>2</xdr:row>
      <xdr:rowOff>44450</xdr:rowOff>
    </xdr:to>
    <xdr:pic>
      <xdr:nvPicPr>
        <xdr:cNvPr id="3" name="Picture 2" descr="clip_image002.gi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152400"/>
          <a:ext cx="1207537" cy="292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266701</xdr:colOff>
      <xdr:row>0</xdr:row>
      <xdr:rowOff>149225</xdr:rowOff>
    </xdr:from>
    <xdr:to>
      <xdr:col>11</xdr:col>
      <xdr:colOff>628651</xdr:colOff>
      <xdr:row>2</xdr:row>
      <xdr:rowOff>2540</xdr:rowOff>
    </xdr:to>
    <xdr:pic>
      <xdr:nvPicPr>
        <xdr:cNvPr id="3" name="Picture 2" descr="clip_image00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1" y="149225"/>
          <a:ext cx="1200150" cy="29146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amblesgroup.sharepoint.com/teams/a/GST/SiteAssets/SitePages/FY16%20Sust.%20Review/FY16%20Sub-contracted%20Sites%20Scope%203%20Emissions%20Report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amblesgroup.sharepoint.com/teams/a/GST/SiteAssets/SitePages/FY16%20Sust.%20Review/Logistics%20&amp;%20Supply%20Chain%20Collaboration%20FY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amblesgroup.sharepoint.com/teams/a/GST/SiteAssets/SitePages/FY15%20Sustainability%20Review/FY15%20Scope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tensity Reference"/>
      <sheetName val="RPC"/>
      <sheetName val="P-APac"/>
      <sheetName val="P-LatAm"/>
      <sheetName val="P-AIME"/>
      <sheetName val="P-EU"/>
      <sheetName val="P-NA"/>
      <sheetName val="Containers"/>
    </sheetNames>
    <sheetDataSet>
      <sheetData sheetId="0">
        <row r="36">
          <cell r="E36">
            <v>540.98074454712912</v>
          </cell>
        </row>
        <row r="37">
          <cell r="E37">
            <v>75.705093553207718</v>
          </cell>
        </row>
        <row r="38">
          <cell r="E38">
            <v>73.030124497584765</v>
          </cell>
        </row>
        <row r="39">
          <cell r="E39">
            <v>145.05449736524091</v>
          </cell>
        </row>
        <row r="40">
          <cell r="E40">
            <v>8.2242249359406046</v>
          </cell>
        </row>
        <row r="41">
          <cell r="E41">
            <v>23.089659110122099</v>
          </cell>
        </row>
        <row r="42">
          <cell r="E42">
            <v>0.54766652458356924</v>
          </cell>
        </row>
        <row r="43">
          <cell r="E43">
            <v>20.25604497333968</v>
          </cell>
        </row>
        <row r="44">
          <cell r="E44">
            <v>135.9892927548085</v>
          </cell>
        </row>
        <row r="45">
          <cell r="E45">
            <v>95.939041494539694</v>
          </cell>
        </row>
        <row r="46">
          <cell r="E46">
            <v>2.7161917052478208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Y15"/>
      <sheetName val="Method"/>
      <sheetName val="Pallets NA FY15 Restated"/>
      <sheetName val="Pallets AIME"/>
      <sheetName val="Pallets AsiaPac"/>
      <sheetName val="Pallets EU"/>
      <sheetName val="Pallets LatAm"/>
      <sheetName val="Pallets NA"/>
      <sheetName val="IFCO"/>
      <sheetName val="Containers"/>
      <sheetName val="NA FY15 comparison"/>
    </sheetNames>
    <sheetDataSet>
      <sheetData sheetId="0">
        <row r="6">
          <cell r="P6">
            <v>103.11140991305106</v>
          </cell>
        </row>
        <row r="7">
          <cell r="P7">
            <v>309.73602932645963</v>
          </cell>
        </row>
        <row r="8">
          <cell r="P8">
            <v>1797.44409615</v>
          </cell>
        </row>
        <row r="9">
          <cell r="P9">
            <v>609.66901359955943</v>
          </cell>
        </row>
        <row r="11">
          <cell r="P11">
            <v>2311.9488131309104</v>
          </cell>
        </row>
        <row r="12">
          <cell r="P12">
            <v>3136.5153583257661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 AIME"/>
      <sheetName val="L ANZ"/>
      <sheetName val="L Asia"/>
      <sheetName val="L EU"/>
      <sheetName val="L LatAm"/>
      <sheetName val="L NA"/>
      <sheetName val="L Containers"/>
      <sheetName val="L RPC"/>
      <sheetName val="Summary"/>
      <sheetName val="S AIME"/>
      <sheetName val="S ANZ"/>
      <sheetName val="S Asia"/>
      <sheetName val="S LatAm"/>
      <sheetName val="S EU"/>
      <sheetName val="S NA"/>
      <sheetName val="S Containers"/>
      <sheetName val="S R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9">
          <cell r="G89">
            <v>531.49337072114986</v>
          </cell>
        </row>
        <row r="90">
          <cell r="G90">
            <v>72.272772997122757</v>
          </cell>
        </row>
        <row r="91">
          <cell r="G91">
            <v>83.046283237594849</v>
          </cell>
        </row>
        <row r="92">
          <cell r="G92">
            <v>168.52616129199689</v>
          </cell>
        </row>
        <row r="93">
          <cell r="G93">
            <v>13.19982185088093</v>
          </cell>
        </row>
        <row r="94">
          <cell r="G94">
            <v>83.205956677874951</v>
          </cell>
        </row>
        <row r="95">
          <cell r="G95">
            <v>0.56082188016555923</v>
          </cell>
        </row>
        <row r="96">
          <cell r="G96">
            <v>26.184329391290813</v>
          </cell>
        </row>
        <row r="97">
          <cell r="G97">
            <v>75.628585023964874</v>
          </cell>
        </row>
        <row r="98">
          <cell r="G98">
            <v>48.275157317371672</v>
          </cell>
        </row>
        <row r="99">
          <cell r="G99">
            <v>3.030228857326795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rambles.com/sustainability/sustainability-review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rambles.com/sustainability/sustainability-review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rambles.com/sustainability/sustainability-re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V42"/>
  <sheetViews>
    <sheetView workbookViewId="0"/>
  </sheetViews>
  <sheetFormatPr defaultRowHeight="15.75" x14ac:dyDescent="0.25"/>
  <sheetData>
    <row r="1" spans="1:22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331"/>
      <c r="Q1" s="331"/>
      <c r="R1" s="331"/>
      <c r="S1" s="331"/>
      <c r="T1" s="331"/>
      <c r="U1" s="331"/>
      <c r="V1" s="331"/>
    </row>
    <row r="2" spans="1:22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331"/>
      <c r="Q2" s="331"/>
      <c r="R2" s="331"/>
      <c r="S2" s="331"/>
      <c r="T2" s="331"/>
      <c r="U2" s="331"/>
      <c r="V2" s="331"/>
    </row>
    <row r="3" spans="1:2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331"/>
      <c r="Q3" s="331"/>
      <c r="R3" s="331"/>
      <c r="S3" s="331"/>
      <c r="T3" s="331"/>
      <c r="U3" s="331"/>
      <c r="V3" s="331"/>
    </row>
    <row r="4" spans="1:22" ht="48" x14ac:dyDescent="0.8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52"/>
      <c r="M4" s="13"/>
      <c r="N4" s="13"/>
      <c r="O4" s="13"/>
      <c r="P4" s="331"/>
      <c r="Q4" s="331"/>
      <c r="R4" s="331"/>
      <c r="S4" s="331"/>
      <c r="T4" s="331"/>
      <c r="U4" s="331"/>
      <c r="V4" s="331"/>
    </row>
    <row r="5" spans="1:22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331"/>
      <c r="Q5" s="331"/>
      <c r="R5" s="331"/>
      <c r="S5" s="331"/>
      <c r="T5" s="331"/>
      <c r="U5" s="331"/>
      <c r="V5" s="331"/>
    </row>
    <row r="6" spans="1:22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331"/>
      <c r="Q6" s="331"/>
      <c r="R6" s="331"/>
      <c r="S6" s="331"/>
      <c r="T6" s="331"/>
      <c r="U6" s="331"/>
      <c r="V6" s="331"/>
    </row>
    <row r="7" spans="1:22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331"/>
      <c r="Q7" s="331"/>
      <c r="R7" s="331"/>
      <c r="S7" s="331"/>
      <c r="T7" s="331"/>
      <c r="U7" s="331"/>
      <c r="V7" s="331"/>
    </row>
    <row r="8" spans="1:2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331"/>
      <c r="Q8" s="331"/>
      <c r="R8" s="331"/>
      <c r="S8" s="331"/>
      <c r="T8" s="331"/>
      <c r="U8" s="331"/>
      <c r="V8" s="331"/>
    </row>
    <row r="9" spans="1:22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331"/>
      <c r="Q9" s="331"/>
      <c r="R9" s="331"/>
      <c r="S9" s="331"/>
      <c r="T9" s="331"/>
      <c r="U9" s="331"/>
      <c r="V9" s="331"/>
    </row>
    <row r="10" spans="1:22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331"/>
      <c r="Q10" s="331"/>
      <c r="R10" s="331"/>
      <c r="S10" s="331"/>
      <c r="T10" s="331"/>
      <c r="U10" s="331"/>
      <c r="V10" s="331"/>
    </row>
    <row r="11" spans="1:22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331"/>
      <c r="Q11" s="331"/>
      <c r="R11" s="331"/>
      <c r="S11" s="331"/>
      <c r="T11" s="331"/>
      <c r="U11" s="331"/>
      <c r="V11" s="331"/>
    </row>
    <row r="12" spans="1:22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331"/>
      <c r="Q12" s="331"/>
      <c r="R12" s="331"/>
      <c r="S12" s="331"/>
      <c r="T12" s="331"/>
      <c r="U12" s="331"/>
      <c r="V12" s="331"/>
    </row>
    <row r="13" spans="1:22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331"/>
      <c r="Q13" s="331"/>
      <c r="R13" s="331"/>
      <c r="S13" s="331"/>
      <c r="T13" s="331"/>
      <c r="U13" s="331"/>
      <c r="V13" s="331"/>
    </row>
    <row r="14" spans="1:22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331"/>
      <c r="Q14" s="331"/>
      <c r="R14" s="331"/>
      <c r="S14" s="331"/>
      <c r="T14" s="331"/>
      <c r="U14" s="331"/>
      <c r="V14" s="331"/>
    </row>
    <row r="15" spans="1:22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331"/>
      <c r="Q15" s="331"/>
      <c r="R15" s="331"/>
      <c r="S15" s="331"/>
      <c r="T15" s="331"/>
      <c r="U15" s="331"/>
      <c r="V15" s="331"/>
    </row>
    <row r="16" spans="1:22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331"/>
      <c r="Q16" s="331"/>
      <c r="R16" s="331"/>
      <c r="S16" s="331"/>
      <c r="T16" s="331"/>
      <c r="U16" s="331"/>
      <c r="V16" s="331"/>
    </row>
    <row r="17" spans="1:22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331"/>
      <c r="Q17" s="331"/>
      <c r="R17" s="331"/>
      <c r="S17" s="331"/>
      <c r="T17" s="331"/>
      <c r="U17" s="331"/>
      <c r="V17" s="331"/>
    </row>
    <row r="18" spans="1:22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331"/>
      <c r="Q18" s="331"/>
      <c r="R18" s="331"/>
      <c r="S18" s="331"/>
      <c r="T18" s="331"/>
      <c r="U18" s="331"/>
      <c r="V18" s="331"/>
    </row>
    <row r="19" spans="1:22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331"/>
      <c r="Q19" s="331"/>
      <c r="R19" s="331"/>
      <c r="S19" s="331"/>
      <c r="T19" s="331"/>
      <c r="U19" s="331"/>
      <c r="V19" s="331"/>
    </row>
    <row r="20" spans="1:22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331"/>
      <c r="Q20" s="331"/>
      <c r="R20" s="331"/>
      <c r="S20" s="331"/>
      <c r="T20" s="331"/>
      <c r="U20" s="331"/>
      <c r="V20" s="331"/>
    </row>
    <row r="21" spans="1:22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331"/>
      <c r="Q21" s="331"/>
      <c r="R21" s="331"/>
      <c r="S21" s="331"/>
      <c r="T21" s="331"/>
      <c r="U21" s="331"/>
      <c r="V21" s="331"/>
    </row>
    <row r="22" spans="1:22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331"/>
      <c r="Q22" s="331"/>
      <c r="R22" s="331"/>
      <c r="S22" s="331"/>
      <c r="T22" s="331"/>
      <c r="U22" s="331"/>
      <c r="V22" s="331"/>
    </row>
    <row r="23" spans="1:22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331"/>
      <c r="Q23" s="331"/>
      <c r="R23" s="331"/>
      <c r="S23" s="331"/>
      <c r="T23" s="331"/>
      <c r="U23" s="331"/>
      <c r="V23" s="331"/>
    </row>
    <row r="24" spans="1:22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331"/>
      <c r="Q24" s="331"/>
      <c r="R24" s="331"/>
      <c r="S24" s="331"/>
      <c r="T24" s="331"/>
      <c r="U24" s="331"/>
      <c r="V24" s="331"/>
    </row>
    <row r="25" spans="1:22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331"/>
      <c r="Q25" s="331"/>
      <c r="R25" s="331"/>
      <c r="S25" s="331"/>
      <c r="T25" s="331"/>
      <c r="U25" s="331"/>
      <c r="V25" s="331"/>
    </row>
    <row r="26" spans="1:22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331"/>
      <c r="Q26" s="331"/>
      <c r="R26" s="331"/>
      <c r="S26" s="331"/>
      <c r="T26" s="331"/>
      <c r="U26" s="331"/>
      <c r="V26" s="331"/>
    </row>
    <row r="27" spans="1:22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331"/>
      <c r="Q27" s="331"/>
      <c r="R27" s="331"/>
      <c r="S27" s="331"/>
      <c r="T27" s="331"/>
      <c r="U27" s="331"/>
      <c r="V27" s="331"/>
    </row>
    <row r="28" spans="1:22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331"/>
      <c r="Q28" s="331"/>
      <c r="R28" s="331"/>
      <c r="S28" s="331"/>
      <c r="T28" s="331"/>
      <c r="U28" s="331"/>
      <c r="V28" s="331"/>
    </row>
    <row r="29" spans="1:22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331"/>
      <c r="Q29" s="331"/>
      <c r="R29" s="331"/>
      <c r="S29" s="331"/>
      <c r="T29" s="331"/>
      <c r="U29" s="331"/>
      <c r="V29" s="331"/>
    </row>
    <row r="30" spans="1:22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331"/>
      <c r="Q30" s="331"/>
      <c r="R30" s="331"/>
      <c r="S30" s="331"/>
      <c r="T30" s="331"/>
      <c r="U30" s="331"/>
      <c r="V30" s="331"/>
    </row>
    <row r="31" spans="1:22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331"/>
      <c r="Q31" s="331"/>
      <c r="R31" s="331"/>
      <c r="S31" s="331"/>
      <c r="T31" s="331"/>
      <c r="U31" s="331"/>
      <c r="V31" s="331"/>
    </row>
    <row r="32" spans="1:22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331"/>
      <c r="Q32" s="331"/>
      <c r="R32" s="331"/>
      <c r="S32" s="331"/>
      <c r="T32" s="331"/>
      <c r="U32" s="331"/>
      <c r="V32" s="331"/>
    </row>
    <row r="33" spans="1:22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331"/>
      <c r="Q33" s="331"/>
      <c r="R33" s="331"/>
      <c r="S33" s="331"/>
      <c r="T33" s="331"/>
      <c r="U33" s="331"/>
      <c r="V33" s="331"/>
    </row>
    <row r="34" spans="1:2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331"/>
      <c r="Q34" s="331"/>
      <c r="R34" s="331"/>
      <c r="S34" s="331"/>
      <c r="T34" s="331"/>
      <c r="U34" s="331"/>
      <c r="V34" s="331"/>
    </row>
    <row r="35" spans="1:22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331"/>
      <c r="Q35" s="331"/>
      <c r="R35" s="331"/>
      <c r="S35" s="331"/>
      <c r="T35" s="331"/>
      <c r="U35" s="331"/>
      <c r="V35" s="331"/>
    </row>
    <row r="36" spans="1:22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331"/>
      <c r="Q36" s="331"/>
      <c r="R36" s="331"/>
      <c r="S36" s="331"/>
      <c r="T36" s="331"/>
      <c r="U36" s="331"/>
      <c r="V36" s="331"/>
    </row>
    <row r="37" spans="1:22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331"/>
      <c r="Q37" s="331"/>
      <c r="R37" s="331"/>
      <c r="S37" s="331"/>
      <c r="T37" s="331"/>
      <c r="U37" s="331"/>
      <c r="V37" s="331"/>
    </row>
    <row r="38" spans="1:22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331"/>
      <c r="Q38" s="331"/>
      <c r="R38" s="331"/>
      <c r="S38" s="331"/>
      <c r="T38" s="331"/>
      <c r="U38" s="331"/>
      <c r="V38" s="331"/>
    </row>
    <row r="39" spans="1:22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331"/>
      <c r="Q39" s="331"/>
      <c r="R39" s="331"/>
      <c r="S39" s="331"/>
      <c r="T39" s="331"/>
      <c r="U39" s="331"/>
      <c r="V39" s="331"/>
    </row>
    <row r="40" spans="1:22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331"/>
      <c r="Q40" s="331"/>
      <c r="R40" s="331"/>
      <c r="S40" s="331"/>
      <c r="T40" s="331"/>
      <c r="U40" s="331"/>
      <c r="V40" s="331"/>
    </row>
    <row r="41" spans="1:22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331"/>
      <c r="Q41" s="331"/>
      <c r="R41" s="331"/>
      <c r="S41" s="331"/>
      <c r="T41" s="331"/>
      <c r="U41" s="331"/>
      <c r="V41" s="331"/>
    </row>
    <row r="42" spans="1:22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331"/>
      <c r="Q42" s="331"/>
      <c r="R42" s="331"/>
      <c r="S42" s="331"/>
      <c r="T42" s="331"/>
      <c r="U42" s="331"/>
      <c r="V42" s="33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71"/>
    <pageSetUpPr fitToPage="1"/>
  </sheetPr>
  <dimension ref="A1:R334"/>
  <sheetViews>
    <sheetView tabSelected="1" zoomScaleNormal="100" zoomScaleSheetLayoutView="85" zoomScalePageLayoutView="150" workbookViewId="0">
      <selection activeCell="E16" sqref="E16"/>
    </sheetView>
  </sheetViews>
  <sheetFormatPr defaultColWidth="11" defaultRowHeight="15.75" x14ac:dyDescent="0.25"/>
  <cols>
    <col min="1" max="1" width="4.375" customWidth="1"/>
    <col min="2" max="2" width="16.375" customWidth="1"/>
    <col min="3" max="3" width="18.625" customWidth="1"/>
    <col min="5" max="5" width="14.125" customWidth="1"/>
    <col min="7" max="7" width="11" customWidth="1"/>
    <col min="8" max="8" width="13.875" customWidth="1"/>
    <col min="9" max="9" width="12.125" customWidth="1"/>
  </cols>
  <sheetData>
    <row r="1" spans="1:18" x14ac:dyDescent="0.25">
      <c r="A1" s="21"/>
      <c r="B1" s="20" t="s">
        <v>0</v>
      </c>
      <c r="C1" s="20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x14ac:dyDescent="0.25">
      <c r="A2" s="21"/>
      <c r="B2" s="20" t="s">
        <v>397</v>
      </c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8.25" customHeight="1" x14ac:dyDescent="0.25">
      <c r="A3" s="21"/>
      <c r="B3" s="20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30.75" x14ac:dyDescent="0.25">
      <c r="A4" s="21"/>
      <c r="B4" s="25" t="s">
        <v>2</v>
      </c>
      <c r="C4" s="14"/>
      <c r="D4" s="15"/>
      <c r="E4" s="15"/>
      <c r="F4" s="15"/>
      <c r="G4" s="15"/>
      <c r="H4" s="15"/>
      <c r="I4" s="15"/>
      <c r="J4" s="15"/>
      <c r="K4" s="15"/>
      <c r="L4" s="15"/>
      <c r="M4" s="21"/>
      <c r="N4" s="21"/>
      <c r="O4" s="21"/>
      <c r="P4" s="21"/>
      <c r="Q4" s="21"/>
      <c r="R4" s="21"/>
    </row>
    <row r="5" spans="1:18" ht="17.25" x14ac:dyDescent="0.25">
      <c r="A5" s="21"/>
      <c r="B5" s="24" t="s">
        <v>3</v>
      </c>
      <c r="C5" s="16"/>
      <c r="D5" s="15"/>
      <c r="E5" s="15"/>
      <c r="F5" s="15"/>
      <c r="G5" s="15"/>
      <c r="H5" s="15"/>
      <c r="I5" s="15"/>
      <c r="J5" s="15"/>
      <c r="K5" s="15"/>
      <c r="L5" s="15"/>
      <c r="M5" s="21"/>
      <c r="N5" s="21"/>
      <c r="O5" s="21"/>
      <c r="P5" s="21"/>
      <c r="Q5" s="21"/>
      <c r="R5" s="21"/>
    </row>
    <row r="6" spans="1:18" x14ac:dyDescent="0.25">
      <c r="A6" s="21"/>
      <c r="B6" s="16"/>
      <c r="C6" s="16"/>
      <c r="D6" s="15"/>
      <c r="E6" s="15"/>
      <c r="F6" s="15"/>
      <c r="G6" s="15"/>
      <c r="H6" s="15"/>
      <c r="I6" s="15"/>
      <c r="J6" s="15"/>
      <c r="K6" s="15"/>
      <c r="L6" s="15"/>
      <c r="M6" s="21"/>
      <c r="N6" s="21"/>
      <c r="O6" s="21"/>
      <c r="P6" s="21"/>
      <c r="Q6" s="21"/>
      <c r="R6" s="21"/>
    </row>
    <row r="7" spans="1:18" ht="20.25" x14ac:dyDescent="0.25">
      <c r="A7" s="21"/>
      <c r="B7" s="22" t="s">
        <v>4</v>
      </c>
      <c r="C7" s="17"/>
      <c r="D7" s="15"/>
      <c r="E7" s="15"/>
      <c r="F7" s="15"/>
      <c r="G7" s="15"/>
      <c r="H7" s="15"/>
      <c r="I7" s="15"/>
      <c r="J7" s="15"/>
      <c r="K7" s="15"/>
      <c r="L7" s="15"/>
      <c r="M7" s="21"/>
      <c r="N7" s="21"/>
      <c r="O7" s="21"/>
      <c r="P7" s="21"/>
      <c r="Q7" s="21"/>
      <c r="R7" s="21"/>
    </row>
    <row r="8" spans="1:18" ht="3" customHeight="1" x14ac:dyDescent="0.25">
      <c r="A8" s="21"/>
      <c r="B8" s="18"/>
      <c r="C8" s="18"/>
      <c r="D8" s="15"/>
      <c r="E8" s="15"/>
      <c r="F8" s="15"/>
      <c r="G8" s="15"/>
      <c r="H8" s="15"/>
      <c r="I8" s="15"/>
      <c r="J8" s="15"/>
      <c r="K8" s="15"/>
      <c r="L8" s="15"/>
      <c r="M8" s="21"/>
      <c r="N8" s="21"/>
      <c r="O8" s="21"/>
      <c r="P8" s="21"/>
      <c r="Q8" s="21"/>
      <c r="R8" s="21"/>
    </row>
    <row r="9" spans="1:18" x14ac:dyDescent="0.25">
      <c r="A9" s="21"/>
      <c r="B9" s="23" t="s">
        <v>5</v>
      </c>
      <c r="C9" s="19"/>
      <c r="D9" s="15"/>
      <c r="E9" s="15"/>
      <c r="F9" s="15"/>
      <c r="G9" s="15"/>
      <c r="H9" s="15"/>
      <c r="I9" s="15"/>
      <c r="J9" s="15"/>
      <c r="K9" s="15"/>
      <c r="L9" s="15"/>
      <c r="M9" s="21"/>
      <c r="N9" s="21"/>
      <c r="O9" s="21"/>
      <c r="P9" s="21"/>
      <c r="Q9" s="21"/>
      <c r="R9" s="21"/>
    </row>
    <row r="10" spans="1:18" ht="5.25" customHeight="1" thickBot="1" x14ac:dyDescent="0.3">
      <c r="A10" s="21"/>
      <c r="B10" s="328"/>
      <c r="C10" s="328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x14ac:dyDescent="0.25">
      <c r="A11" s="21"/>
      <c r="B11" s="407" t="s">
        <v>6</v>
      </c>
      <c r="C11" s="407"/>
      <c r="D11" s="27" t="s">
        <v>7</v>
      </c>
      <c r="E11" s="27" t="s">
        <v>8</v>
      </c>
      <c r="F11" s="27" t="s">
        <v>9</v>
      </c>
      <c r="G11" s="27" t="s">
        <v>10</v>
      </c>
      <c r="H11" s="329"/>
      <c r="I11" s="329"/>
      <c r="J11" s="329"/>
      <c r="K11" s="329"/>
      <c r="L11" s="21"/>
      <c r="M11" s="21"/>
      <c r="N11" s="21"/>
      <c r="O11" s="21"/>
      <c r="P11" s="21"/>
      <c r="Q11" s="21"/>
      <c r="R11" s="21"/>
    </row>
    <row r="12" spans="1:18" x14ac:dyDescent="0.25">
      <c r="A12" s="21"/>
      <c r="B12" s="410" t="s">
        <v>11</v>
      </c>
      <c r="C12" s="410"/>
      <c r="D12" s="287">
        <v>2574375</v>
      </c>
      <c r="E12" s="287">
        <v>2534000</v>
      </c>
      <c r="F12" s="287">
        <v>2349000</v>
      </c>
      <c r="G12" s="287">
        <v>990000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x14ac:dyDescent="0.25">
      <c r="A13" s="21"/>
      <c r="B13" s="410" t="s">
        <v>12</v>
      </c>
      <c r="C13" s="410"/>
      <c r="D13" s="287">
        <v>1653418</v>
      </c>
      <c r="E13" s="287">
        <v>1609000</v>
      </c>
      <c r="F13" s="287">
        <v>1491000</v>
      </c>
      <c r="G13" s="287">
        <v>1380000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x14ac:dyDescent="0.25">
      <c r="A14" s="21"/>
      <c r="B14" s="410" t="s">
        <v>13</v>
      </c>
      <c r="C14" s="410"/>
      <c r="D14" s="287">
        <v>1380864</v>
      </c>
      <c r="E14" s="287">
        <v>1425000</v>
      </c>
      <c r="F14" s="287">
        <v>1389000</v>
      </c>
      <c r="G14" s="287">
        <v>459000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x14ac:dyDescent="0.25">
      <c r="A15" s="21"/>
      <c r="B15" s="410" t="s">
        <v>14</v>
      </c>
      <c r="C15" s="410"/>
      <c r="D15" s="330">
        <v>4719</v>
      </c>
      <c r="E15" s="330">
        <v>116610</v>
      </c>
      <c r="F15" s="287">
        <v>173920</v>
      </c>
      <c r="G15" s="287">
        <v>3000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x14ac:dyDescent="0.25">
      <c r="A16" s="21"/>
      <c r="B16" s="410" t="s">
        <v>15</v>
      </c>
      <c r="C16" s="410"/>
      <c r="D16" s="330">
        <v>4131</v>
      </c>
      <c r="E16" s="330">
        <v>4500</v>
      </c>
      <c r="F16" s="287">
        <v>4220</v>
      </c>
      <c r="G16" s="287">
        <v>11000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16.5" thickBot="1" x14ac:dyDescent="0.3">
      <c r="A17" s="21"/>
      <c r="B17" s="411" t="s">
        <v>16</v>
      </c>
      <c r="C17" s="411"/>
      <c r="D17" s="327">
        <f>(867000*0.000453592)+8863</f>
        <v>9256.2642639999995</v>
      </c>
      <c r="E17" s="327">
        <v>7474</v>
      </c>
      <c r="F17" s="327">
        <v>8114</v>
      </c>
      <c r="G17" s="327">
        <v>6215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16.5" thickBot="1" x14ac:dyDescent="0.3">
      <c r="A18" s="21"/>
      <c r="B18" s="328"/>
      <c r="C18" s="328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57.75" thickBot="1" x14ac:dyDescent="0.35">
      <c r="A19" s="21"/>
      <c r="B19" s="235"/>
      <c r="C19" s="235"/>
      <c r="D19" s="32" t="s">
        <v>11</v>
      </c>
      <c r="E19" s="33" t="s">
        <v>12</v>
      </c>
      <c r="F19" s="33" t="s">
        <v>13</v>
      </c>
      <c r="G19" s="33" t="s">
        <v>14</v>
      </c>
      <c r="H19" s="33" t="s">
        <v>15</v>
      </c>
      <c r="I19" s="33" t="s">
        <v>17</v>
      </c>
      <c r="J19" s="21"/>
      <c r="K19" s="21"/>
      <c r="L19" s="21"/>
      <c r="M19" s="21"/>
      <c r="N19" s="21"/>
      <c r="O19" s="21"/>
      <c r="P19" s="21"/>
      <c r="Q19" s="21"/>
      <c r="R19" s="21"/>
    </row>
    <row r="20" spans="1:18" x14ac:dyDescent="0.25">
      <c r="A20" s="21"/>
      <c r="B20" s="391" t="s">
        <v>7</v>
      </c>
      <c r="C20" s="392"/>
      <c r="D20" s="27"/>
      <c r="E20" s="27"/>
      <c r="F20" s="27"/>
      <c r="G20" s="27"/>
      <c r="H20" s="27"/>
      <c r="I20" s="27"/>
      <c r="J20" s="21"/>
      <c r="K20" s="21"/>
      <c r="L20" s="21"/>
      <c r="M20" s="21"/>
      <c r="N20" s="21"/>
      <c r="O20" s="21"/>
      <c r="P20" s="21"/>
      <c r="Q20" s="21"/>
      <c r="R20" s="21"/>
    </row>
    <row r="21" spans="1:18" x14ac:dyDescent="0.25">
      <c r="A21" s="21"/>
      <c r="B21" s="408" t="s">
        <v>6</v>
      </c>
      <c r="C21" s="409"/>
      <c r="D21" s="281">
        <v>2574375</v>
      </c>
      <c r="E21" s="281">
        <v>1653418</v>
      </c>
      <c r="F21" s="281">
        <v>1380864</v>
      </c>
      <c r="G21" s="281">
        <f>SUM(G23+G25)</f>
        <v>799025.55120138137</v>
      </c>
      <c r="H21" s="360">
        <v>4131</v>
      </c>
      <c r="I21" s="34">
        <f>D17</f>
        <v>9256.2642639999995</v>
      </c>
      <c r="J21" s="21"/>
      <c r="K21" s="21"/>
      <c r="L21" s="21"/>
      <c r="M21" s="21"/>
      <c r="N21" s="21"/>
      <c r="O21" s="21"/>
      <c r="P21" s="21"/>
      <c r="Q21" s="21"/>
      <c r="R21" s="21"/>
    </row>
    <row r="22" spans="1:18" x14ac:dyDescent="0.25">
      <c r="A22" s="21"/>
      <c r="B22" s="403" t="s">
        <v>18</v>
      </c>
      <c r="C22" s="404"/>
      <c r="D22" s="287">
        <f>1985346720.6512/1000</f>
        <v>1985346.7206512</v>
      </c>
      <c r="E22" s="287">
        <v>1653418.4099528843</v>
      </c>
      <c r="F22" s="287">
        <v>1268167.2236565244</v>
      </c>
      <c r="G22" s="323" t="s">
        <v>19</v>
      </c>
      <c r="H22" s="287">
        <f>2264188.31009/1000</f>
        <v>2264.18831009</v>
      </c>
      <c r="I22" s="35"/>
      <c r="J22" s="21"/>
      <c r="K22" s="21"/>
      <c r="L22" s="21"/>
      <c r="M22" s="21"/>
      <c r="N22" s="21"/>
      <c r="O22" s="21"/>
      <c r="P22" s="21"/>
      <c r="Q22" s="21"/>
      <c r="R22" s="21"/>
    </row>
    <row r="23" spans="1:18" x14ac:dyDescent="0.25">
      <c r="A23" s="21"/>
      <c r="B23" s="403" t="s">
        <v>20</v>
      </c>
      <c r="C23" s="404"/>
      <c r="D23" s="287">
        <f>589028023.073724/1000</f>
        <v>589028.02307372401</v>
      </c>
      <c r="E23" s="35"/>
      <c r="F23" s="287">
        <v>112697.24592668095</v>
      </c>
      <c r="G23" s="28">
        <v>4718.5512013814196</v>
      </c>
      <c r="H23" s="287">
        <f>1866786.5134195/1000</f>
        <v>1866.7865134195001</v>
      </c>
      <c r="I23" s="35"/>
      <c r="J23" s="21"/>
      <c r="K23" s="21"/>
      <c r="L23" s="21"/>
      <c r="M23" s="21"/>
      <c r="N23" s="21"/>
      <c r="O23" s="21"/>
      <c r="P23" s="21"/>
      <c r="Q23" s="21"/>
      <c r="R23" s="21"/>
    </row>
    <row r="24" spans="1:18" x14ac:dyDescent="0.25">
      <c r="A24" s="21"/>
      <c r="B24" s="403" t="s">
        <v>21</v>
      </c>
      <c r="C24" s="404"/>
      <c r="D24" s="287">
        <v>53769.867162288763</v>
      </c>
      <c r="E24" s="35"/>
      <c r="F24" s="35"/>
      <c r="G24" s="35"/>
      <c r="H24" s="35"/>
      <c r="I24" s="35"/>
      <c r="J24" s="21"/>
      <c r="K24" s="21"/>
      <c r="L24" s="21"/>
      <c r="M24" s="21"/>
      <c r="N24" s="21"/>
      <c r="O24" s="21"/>
      <c r="P24" s="21"/>
      <c r="Q24" s="21"/>
      <c r="R24" s="21"/>
    </row>
    <row r="25" spans="1:18" ht="16.5" thickBot="1" x14ac:dyDescent="0.3">
      <c r="A25" s="21"/>
      <c r="B25" s="403" t="s">
        <v>22</v>
      </c>
      <c r="C25" s="404"/>
      <c r="D25" s="36"/>
      <c r="E25" s="36"/>
      <c r="F25" s="36"/>
      <c r="G25" s="287">
        <v>794307</v>
      </c>
      <c r="H25" s="36"/>
      <c r="I25" s="36"/>
      <c r="J25" s="21"/>
      <c r="K25" s="21"/>
      <c r="L25" s="21"/>
      <c r="M25" s="21"/>
      <c r="N25" s="21"/>
      <c r="O25" s="21"/>
      <c r="P25" s="21"/>
      <c r="Q25" s="21"/>
      <c r="R25" s="21"/>
    </row>
    <row r="26" spans="1:18" x14ac:dyDescent="0.25">
      <c r="A26" s="21"/>
      <c r="B26" s="391" t="s">
        <v>8</v>
      </c>
      <c r="C26" s="392"/>
      <c r="D26" s="27"/>
      <c r="E26" s="27"/>
      <c r="F26" s="27"/>
      <c r="G26" s="27"/>
      <c r="H26" s="27"/>
      <c r="I26" s="27"/>
      <c r="J26" s="21"/>
      <c r="K26" s="21"/>
      <c r="L26" s="21"/>
      <c r="M26" s="21"/>
      <c r="N26" s="21"/>
      <c r="O26" s="21"/>
      <c r="P26" s="21"/>
      <c r="Q26" s="21"/>
      <c r="R26" s="21"/>
    </row>
    <row r="27" spans="1:18" x14ac:dyDescent="0.25">
      <c r="A27" s="21"/>
      <c r="B27" s="408" t="s">
        <v>6</v>
      </c>
      <c r="C27" s="409"/>
      <c r="D27" s="281">
        <v>2534000</v>
      </c>
      <c r="E27" s="281">
        <v>1609000</v>
      </c>
      <c r="F27" s="281">
        <v>1425000</v>
      </c>
      <c r="G27" s="281">
        <f>SUM(G29+G31)</f>
        <v>116610</v>
      </c>
      <c r="H27" s="281">
        <v>4500</v>
      </c>
      <c r="I27" s="34">
        <v>7474</v>
      </c>
      <c r="J27" s="21"/>
      <c r="K27" s="21"/>
      <c r="L27" s="21"/>
      <c r="M27" s="21"/>
      <c r="N27" s="21"/>
      <c r="O27" s="21"/>
      <c r="P27" s="21"/>
      <c r="Q27" s="21"/>
      <c r="R27" s="21"/>
    </row>
    <row r="28" spans="1:18" x14ac:dyDescent="0.25">
      <c r="A28" s="21"/>
      <c r="B28" s="403" t="s">
        <v>18</v>
      </c>
      <c r="C28" s="404"/>
      <c r="D28" s="287">
        <v>1870000</v>
      </c>
      <c r="E28" s="287">
        <v>1609000</v>
      </c>
      <c r="F28" s="287">
        <v>1195000</v>
      </c>
      <c r="G28" s="323" t="s">
        <v>19</v>
      </c>
      <c r="H28" s="287">
        <v>2200</v>
      </c>
      <c r="I28" s="35"/>
      <c r="J28" s="21"/>
      <c r="K28" s="21"/>
      <c r="L28" s="21"/>
      <c r="M28" s="21"/>
      <c r="N28" s="21"/>
      <c r="O28" s="21"/>
      <c r="P28" s="21"/>
      <c r="Q28" s="21"/>
      <c r="R28" s="21"/>
    </row>
    <row r="29" spans="1:18" x14ac:dyDescent="0.25">
      <c r="A29" s="21"/>
      <c r="B29" s="403" t="s">
        <v>20</v>
      </c>
      <c r="C29" s="404"/>
      <c r="D29" s="287">
        <v>610000</v>
      </c>
      <c r="E29" s="35"/>
      <c r="F29" s="287">
        <v>230000</v>
      </c>
      <c r="G29" s="287">
        <v>4320</v>
      </c>
      <c r="H29" s="287">
        <v>2300</v>
      </c>
      <c r="I29" s="35"/>
      <c r="J29" s="21"/>
      <c r="K29" s="21"/>
      <c r="L29" s="21"/>
      <c r="M29" s="21"/>
      <c r="N29" s="21"/>
      <c r="O29" s="21"/>
      <c r="P29" s="21"/>
      <c r="Q29" s="21"/>
      <c r="R29" s="21"/>
    </row>
    <row r="30" spans="1:18" x14ac:dyDescent="0.25">
      <c r="A30" s="21"/>
      <c r="B30" s="403" t="s">
        <v>21</v>
      </c>
      <c r="C30" s="404"/>
      <c r="D30" s="287">
        <v>54000</v>
      </c>
      <c r="E30" s="35"/>
      <c r="F30" s="35"/>
      <c r="G30" s="35"/>
      <c r="H30" s="35"/>
      <c r="I30" s="35"/>
      <c r="J30" s="21"/>
      <c r="K30" s="21"/>
      <c r="L30" s="21"/>
      <c r="M30" s="21"/>
      <c r="N30" s="21"/>
      <c r="O30" s="21"/>
      <c r="P30" s="21"/>
      <c r="Q30" s="21"/>
      <c r="R30" s="21"/>
    </row>
    <row r="31" spans="1:18" ht="16.5" thickBot="1" x14ac:dyDescent="0.3">
      <c r="A31" s="21"/>
      <c r="B31" s="403" t="s">
        <v>22</v>
      </c>
      <c r="C31" s="404"/>
      <c r="D31" s="36"/>
      <c r="E31" s="36"/>
      <c r="F31" s="36"/>
      <c r="G31" s="30">
        <v>112290</v>
      </c>
      <c r="H31" s="36"/>
      <c r="I31" s="36"/>
      <c r="J31" s="21"/>
      <c r="K31" s="21"/>
      <c r="L31" s="21"/>
      <c r="M31" s="21"/>
      <c r="N31" s="21"/>
      <c r="O31" s="21"/>
      <c r="P31" s="21"/>
      <c r="Q31" s="21"/>
      <c r="R31" s="21"/>
    </row>
    <row r="32" spans="1:18" x14ac:dyDescent="0.25">
      <c r="A32" s="21"/>
      <c r="B32" s="391" t="s">
        <v>9</v>
      </c>
      <c r="C32" s="392"/>
      <c r="D32" s="27"/>
      <c r="E32" s="27"/>
      <c r="F32" s="27"/>
      <c r="G32" s="27"/>
      <c r="H32" s="27"/>
      <c r="I32" s="27"/>
      <c r="J32" s="21"/>
      <c r="K32" s="21"/>
      <c r="L32" s="21"/>
      <c r="M32" s="21"/>
      <c r="N32" s="21"/>
      <c r="O32" s="21"/>
      <c r="P32" s="21"/>
      <c r="Q32" s="21"/>
      <c r="R32" s="21"/>
    </row>
    <row r="33" spans="1:18" x14ac:dyDescent="0.25">
      <c r="A33" s="21"/>
      <c r="B33" s="408" t="s">
        <v>6</v>
      </c>
      <c r="C33" s="409"/>
      <c r="D33" s="281">
        <v>2349000</v>
      </c>
      <c r="E33" s="281">
        <v>1491000</v>
      </c>
      <c r="F33" s="281">
        <v>1389000</v>
      </c>
      <c r="G33" s="281">
        <v>173920</v>
      </c>
      <c r="H33" s="281">
        <v>4220</v>
      </c>
      <c r="I33" s="34">
        <v>8114</v>
      </c>
      <c r="J33" s="21"/>
      <c r="K33" s="21"/>
      <c r="L33" s="21"/>
      <c r="M33" s="21"/>
      <c r="N33" s="21"/>
      <c r="O33" s="21"/>
      <c r="P33" s="21"/>
      <c r="Q33" s="21"/>
      <c r="R33" s="21"/>
    </row>
    <row r="34" spans="1:18" x14ac:dyDescent="0.25">
      <c r="A34" s="21"/>
      <c r="B34" s="403" t="s">
        <v>18</v>
      </c>
      <c r="C34" s="404"/>
      <c r="D34" s="287">
        <v>1800000</v>
      </c>
      <c r="E34" s="287">
        <v>1491000</v>
      </c>
      <c r="F34" s="287">
        <v>1189000</v>
      </c>
      <c r="G34" s="323" t="s">
        <v>19</v>
      </c>
      <c r="H34" s="287">
        <v>2000</v>
      </c>
      <c r="I34" s="35"/>
      <c r="J34" s="21"/>
      <c r="K34" s="21"/>
      <c r="L34" s="21"/>
      <c r="M34" s="21"/>
      <c r="N34" s="21"/>
      <c r="O34" s="21"/>
      <c r="P34" s="21"/>
      <c r="Q34" s="21"/>
      <c r="R34" s="21"/>
    </row>
    <row r="35" spans="1:18" x14ac:dyDescent="0.25">
      <c r="A35" s="21"/>
      <c r="B35" s="403" t="s">
        <v>20</v>
      </c>
      <c r="C35" s="404"/>
      <c r="D35" s="287">
        <v>549000</v>
      </c>
      <c r="E35" s="35"/>
      <c r="F35" s="287">
        <v>200000</v>
      </c>
      <c r="G35" s="287">
        <v>3920</v>
      </c>
      <c r="H35" s="287">
        <v>2220</v>
      </c>
      <c r="I35" s="35"/>
      <c r="J35" s="21"/>
      <c r="K35" s="21"/>
      <c r="L35" s="21"/>
      <c r="M35" s="21"/>
      <c r="N35" s="21"/>
      <c r="O35" s="21"/>
      <c r="P35" s="21"/>
      <c r="Q35" s="21"/>
      <c r="R35" s="21"/>
    </row>
    <row r="36" spans="1:18" x14ac:dyDescent="0.25">
      <c r="A36" s="21"/>
      <c r="B36" s="403" t="s">
        <v>21</v>
      </c>
      <c r="C36" s="404"/>
      <c r="D36" s="287">
        <v>36103</v>
      </c>
      <c r="E36" s="35"/>
      <c r="F36" s="35"/>
      <c r="G36" s="35"/>
      <c r="H36" s="35"/>
      <c r="I36" s="35"/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16.5" thickBot="1" x14ac:dyDescent="0.3">
      <c r="A37" s="21"/>
      <c r="B37" s="403" t="s">
        <v>22</v>
      </c>
      <c r="C37" s="404"/>
      <c r="D37" s="36"/>
      <c r="E37" s="36"/>
      <c r="F37" s="36"/>
      <c r="G37" s="30">
        <v>170000</v>
      </c>
      <c r="H37" s="36"/>
      <c r="I37" s="36"/>
      <c r="J37" s="21"/>
      <c r="K37" s="21"/>
      <c r="L37" s="21"/>
      <c r="M37" s="21"/>
      <c r="N37" s="21"/>
      <c r="O37" s="21"/>
      <c r="P37" s="21"/>
      <c r="Q37" s="21"/>
      <c r="R37" s="21"/>
    </row>
    <row r="38" spans="1:18" x14ac:dyDescent="0.25">
      <c r="A38" s="21"/>
      <c r="B38" s="391" t="s">
        <v>10</v>
      </c>
      <c r="C38" s="392"/>
      <c r="D38" s="27"/>
      <c r="E38" s="27"/>
      <c r="F38" s="27"/>
      <c r="G38" s="27"/>
      <c r="H38" s="27"/>
      <c r="I38" s="27"/>
      <c r="J38" s="21"/>
      <c r="K38" s="21"/>
      <c r="L38" s="21"/>
      <c r="M38" s="21"/>
      <c r="N38" s="21"/>
      <c r="O38" s="21"/>
      <c r="P38" s="21"/>
      <c r="Q38" s="21"/>
      <c r="R38" s="21"/>
    </row>
    <row r="39" spans="1:18" x14ac:dyDescent="0.25">
      <c r="A39" s="21"/>
      <c r="B39" s="408" t="s">
        <v>6</v>
      </c>
      <c r="C39" s="409"/>
      <c r="D39" s="281">
        <v>990000</v>
      </c>
      <c r="E39" s="281">
        <v>1380000</v>
      </c>
      <c r="F39" s="281">
        <v>459000</v>
      </c>
      <c r="G39" s="281">
        <v>3000</v>
      </c>
      <c r="H39" s="281">
        <v>11000</v>
      </c>
      <c r="I39" s="34">
        <v>6215</v>
      </c>
      <c r="J39" s="21"/>
      <c r="K39" s="21"/>
      <c r="L39" s="21"/>
      <c r="M39" s="21"/>
      <c r="N39" s="21"/>
      <c r="O39" s="21"/>
      <c r="P39" s="21"/>
      <c r="Q39" s="21"/>
      <c r="R39" s="21"/>
    </row>
    <row r="40" spans="1:18" x14ac:dyDescent="0.25">
      <c r="A40" s="21"/>
      <c r="B40" s="403" t="s">
        <v>18</v>
      </c>
      <c r="C40" s="404"/>
      <c r="D40" s="287">
        <v>630000</v>
      </c>
      <c r="E40" s="287">
        <v>1380000</v>
      </c>
      <c r="F40" s="287">
        <v>420000</v>
      </c>
      <c r="G40" s="323" t="s">
        <v>19</v>
      </c>
      <c r="H40" s="287">
        <v>11000</v>
      </c>
      <c r="I40" s="35"/>
      <c r="J40" s="21"/>
      <c r="K40" s="21"/>
      <c r="L40" s="21"/>
      <c r="M40" s="21"/>
      <c r="N40" s="21"/>
      <c r="O40" s="21"/>
      <c r="P40" s="21"/>
      <c r="Q40" s="21"/>
      <c r="R40" s="21"/>
    </row>
    <row r="41" spans="1:18" x14ac:dyDescent="0.25">
      <c r="A41" s="21"/>
      <c r="B41" s="403" t="s">
        <v>20</v>
      </c>
      <c r="C41" s="404"/>
      <c r="D41" s="287">
        <v>325000</v>
      </c>
      <c r="E41" s="35"/>
      <c r="F41" s="287">
        <v>39000</v>
      </c>
      <c r="G41" s="287">
        <v>3000</v>
      </c>
      <c r="H41" s="287"/>
      <c r="I41" s="35"/>
      <c r="J41" s="21"/>
      <c r="K41" s="21"/>
      <c r="L41" s="21"/>
      <c r="M41" s="21"/>
      <c r="N41" s="21"/>
      <c r="O41" s="21"/>
      <c r="P41" s="21"/>
      <c r="Q41" s="21"/>
      <c r="R41" s="21"/>
    </row>
    <row r="42" spans="1:18" x14ac:dyDescent="0.25">
      <c r="A42" s="21"/>
      <c r="B42" s="403" t="s">
        <v>21</v>
      </c>
      <c r="C42" s="404"/>
      <c r="D42" s="287">
        <v>35702</v>
      </c>
      <c r="E42" s="35"/>
      <c r="F42" s="35"/>
      <c r="G42" s="35"/>
      <c r="H42" s="35"/>
      <c r="I42" s="35"/>
      <c r="J42" s="21"/>
      <c r="K42" s="21"/>
      <c r="L42" s="21"/>
      <c r="M42" s="21"/>
      <c r="N42" s="21"/>
      <c r="O42" s="21"/>
      <c r="P42" s="21"/>
      <c r="Q42" s="21"/>
      <c r="R42" s="21"/>
    </row>
    <row r="43" spans="1:18" ht="16.5" thickBot="1" x14ac:dyDescent="0.3">
      <c r="A43" s="21"/>
      <c r="B43" s="401" t="s">
        <v>22</v>
      </c>
      <c r="C43" s="402"/>
      <c r="D43" s="36"/>
      <c r="E43" s="36"/>
      <c r="F43" s="36"/>
      <c r="G43" s="327" t="s">
        <v>19</v>
      </c>
      <c r="H43" s="36"/>
      <c r="I43" s="36"/>
      <c r="J43" s="21"/>
      <c r="K43" s="21"/>
      <c r="L43" s="21"/>
      <c r="M43" s="21"/>
      <c r="N43" s="21"/>
      <c r="O43" s="21"/>
      <c r="P43" s="21"/>
      <c r="Q43" s="21"/>
      <c r="R43" s="21"/>
    </row>
    <row r="44" spans="1:18" ht="17.25" x14ac:dyDescent="0.3">
      <c r="A44" s="21"/>
      <c r="B44" s="268"/>
      <c r="C44" s="325"/>
      <c r="D44" s="326"/>
      <c r="E44" s="268"/>
      <c r="F44" s="325"/>
      <c r="G44" s="235"/>
      <c r="H44" s="235"/>
      <c r="I44" s="235"/>
      <c r="J44" s="21"/>
      <c r="K44" s="21"/>
      <c r="L44" s="21"/>
      <c r="M44" s="21"/>
      <c r="N44" s="21"/>
      <c r="O44" s="21"/>
      <c r="P44" s="21"/>
      <c r="Q44" s="21"/>
      <c r="R44" s="21"/>
    </row>
    <row r="45" spans="1:18" ht="39.75" customHeight="1" x14ac:dyDescent="0.3">
      <c r="A45" s="21"/>
      <c r="B45" s="55" t="s">
        <v>23</v>
      </c>
      <c r="C45" s="22"/>
      <c r="D45" s="42"/>
      <c r="E45" s="42"/>
      <c r="F45" s="42"/>
      <c r="G45" s="42"/>
      <c r="H45" s="42"/>
      <c r="I45" s="42"/>
      <c r="J45" s="15"/>
      <c r="K45" s="15"/>
      <c r="L45" s="15"/>
      <c r="M45" s="21"/>
      <c r="N45" s="21"/>
      <c r="O45" s="21"/>
      <c r="P45" s="21"/>
      <c r="Q45" s="21"/>
      <c r="R45" s="21"/>
    </row>
    <row r="46" spans="1:18" ht="4.5" customHeight="1" x14ac:dyDescent="0.3">
      <c r="A46" s="21"/>
      <c r="B46" s="267"/>
      <c r="C46" s="267"/>
      <c r="D46" s="235"/>
      <c r="E46" s="235"/>
      <c r="F46" s="235"/>
      <c r="G46" s="235"/>
      <c r="H46" s="235"/>
      <c r="I46" s="235"/>
      <c r="J46" s="21"/>
      <c r="K46" s="21"/>
      <c r="L46" s="21"/>
      <c r="M46" s="21"/>
      <c r="N46" s="21"/>
      <c r="O46" s="21"/>
      <c r="P46" s="21"/>
      <c r="Q46" s="21"/>
      <c r="R46" s="21"/>
    </row>
    <row r="47" spans="1:18" ht="17.25" x14ac:dyDescent="0.3">
      <c r="A47" s="21"/>
      <c r="B47" s="23" t="s">
        <v>24</v>
      </c>
      <c r="C47" s="41"/>
      <c r="D47" s="42"/>
      <c r="E47" s="42"/>
      <c r="F47" s="42"/>
      <c r="G47" s="42"/>
      <c r="H47" s="42"/>
      <c r="I47" s="42"/>
      <c r="J47" s="42"/>
      <c r="K47" s="42"/>
      <c r="L47" s="15"/>
      <c r="M47" s="21"/>
      <c r="N47" s="21"/>
      <c r="O47" s="21"/>
      <c r="P47" s="21"/>
      <c r="Q47" s="21"/>
      <c r="R47" s="21"/>
    </row>
    <row r="48" spans="1:18" ht="4.5" customHeight="1" thickBot="1" x14ac:dyDescent="0.35">
      <c r="A48" s="21"/>
      <c r="B48" s="247"/>
      <c r="C48" s="247"/>
      <c r="D48" s="235"/>
      <c r="E48" s="235"/>
      <c r="F48" s="235"/>
      <c r="G48" s="235"/>
      <c r="H48" s="235"/>
      <c r="I48" s="235"/>
      <c r="J48" s="21"/>
      <c r="K48" s="21"/>
      <c r="L48" s="21"/>
      <c r="M48" s="21"/>
      <c r="N48" s="21"/>
      <c r="O48" s="21"/>
      <c r="P48" s="21"/>
      <c r="Q48" s="21"/>
      <c r="R48" s="21"/>
    </row>
    <row r="49" spans="1:18" ht="17.25" x14ac:dyDescent="0.3">
      <c r="A49" s="21"/>
      <c r="B49" s="391" t="s">
        <v>6</v>
      </c>
      <c r="C49" s="392" t="s">
        <v>7</v>
      </c>
      <c r="D49" s="27" t="s">
        <v>25</v>
      </c>
      <c r="E49" s="27" t="s">
        <v>8</v>
      </c>
      <c r="F49" s="27" t="s">
        <v>26</v>
      </c>
      <c r="G49" s="27" t="s">
        <v>10</v>
      </c>
      <c r="H49" s="27" t="s">
        <v>27</v>
      </c>
      <c r="I49" s="27" t="s">
        <v>28</v>
      </c>
      <c r="J49" s="235"/>
      <c r="K49" s="235"/>
      <c r="L49" s="21"/>
      <c r="M49" s="21"/>
      <c r="N49" s="21"/>
      <c r="O49" s="21"/>
      <c r="P49" s="21"/>
      <c r="Q49" s="21"/>
      <c r="R49" s="21"/>
    </row>
    <row r="50" spans="1:18" ht="17.25" x14ac:dyDescent="0.3">
      <c r="A50" s="21"/>
      <c r="B50" s="403" t="s">
        <v>29</v>
      </c>
      <c r="C50" s="404"/>
      <c r="D50" s="387" t="s">
        <v>30</v>
      </c>
      <c r="E50" s="323" t="s">
        <v>31</v>
      </c>
      <c r="F50" s="287" t="s">
        <v>32</v>
      </c>
      <c r="G50" s="287" t="s">
        <v>33</v>
      </c>
      <c r="H50" s="287" t="s">
        <v>34</v>
      </c>
      <c r="I50" s="287" t="s">
        <v>35</v>
      </c>
      <c r="J50" s="235"/>
      <c r="K50" s="235"/>
      <c r="L50" s="21"/>
      <c r="M50" s="21"/>
      <c r="N50" s="21"/>
      <c r="O50" s="21"/>
      <c r="P50" s="21"/>
      <c r="Q50" s="21"/>
      <c r="R50" s="21"/>
    </row>
    <row r="51" spans="1:18" ht="17.25" x14ac:dyDescent="0.3">
      <c r="A51" s="21"/>
      <c r="B51" s="401" t="s">
        <v>36</v>
      </c>
      <c r="C51" s="402"/>
      <c r="D51" s="259" t="s">
        <v>37</v>
      </c>
      <c r="E51" s="324" t="s">
        <v>38</v>
      </c>
      <c r="F51" s="324" t="s">
        <v>39</v>
      </c>
      <c r="G51" s="291" t="s">
        <v>40</v>
      </c>
      <c r="H51" s="291" t="s">
        <v>41</v>
      </c>
      <c r="I51" s="291" t="s">
        <v>39</v>
      </c>
      <c r="J51" s="235"/>
      <c r="K51" s="235"/>
      <c r="L51" s="21"/>
      <c r="M51" s="21"/>
      <c r="N51" s="21"/>
      <c r="O51" s="21"/>
      <c r="P51" s="21"/>
      <c r="Q51" s="21"/>
      <c r="R51" s="21"/>
    </row>
    <row r="52" spans="1:18" x14ac:dyDescent="0.25">
      <c r="A52" s="21"/>
      <c r="B52" s="268"/>
      <c r="C52" s="325"/>
      <c r="D52" s="268"/>
      <c r="E52" s="325"/>
      <c r="F52" s="325"/>
      <c r="G52" s="325"/>
      <c r="H52" s="268"/>
      <c r="I52" s="325"/>
      <c r="J52" s="21"/>
      <c r="K52" s="21"/>
      <c r="L52" s="21"/>
      <c r="M52" s="21"/>
      <c r="N52" s="21"/>
      <c r="O52" s="21"/>
      <c r="P52" s="21"/>
      <c r="Q52" s="21"/>
      <c r="R52" s="21"/>
    </row>
    <row r="53" spans="1:18" ht="20.25" x14ac:dyDescent="0.3">
      <c r="A53" s="21"/>
      <c r="B53" s="22" t="s">
        <v>42</v>
      </c>
      <c r="C53" s="22"/>
      <c r="D53" s="42"/>
      <c r="E53" s="42"/>
      <c r="F53" s="42"/>
      <c r="G53" s="42"/>
      <c r="H53" s="42"/>
      <c r="I53" s="42"/>
      <c r="J53" s="15"/>
      <c r="K53" s="15"/>
      <c r="L53" s="15"/>
      <c r="M53" s="21"/>
      <c r="N53" s="21"/>
      <c r="O53" s="21"/>
      <c r="P53" s="21"/>
      <c r="Q53" s="21"/>
      <c r="R53" s="21"/>
    </row>
    <row r="54" spans="1:18" ht="17.25" x14ac:dyDescent="0.3">
      <c r="A54" s="21"/>
      <c r="B54" s="53"/>
      <c r="C54" s="54"/>
      <c r="D54" s="42"/>
      <c r="E54" s="42"/>
      <c r="F54" s="42"/>
      <c r="G54" s="42"/>
      <c r="H54" s="42"/>
      <c r="I54" s="42"/>
      <c r="J54" s="15"/>
      <c r="K54" s="15"/>
      <c r="L54" s="15"/>
      <c r="M54" s="21"/>
      <c r="N54" s="21"/>
      <c r="O54" s="21"/>
      <c r="P54" s="21"/>
      <c r="Q54" s="21"/>
      <c r="R54" s="21"/>
    </row>
    <row r="55" spans="1:18" ht="17.25" x14ac:dyDescent="0.3">
      <c r="A55" s="21"/>
      <c r="B55" s="23" t="s">
        <v>43</v>
      </c>
      <c r="C55" s="41"/>
      <c r="D55" s="42"/>
      <c r="E55" s="42"/>
      <c r="F55" s="42"/>
      <c r="G55" s="42"/>
      <c r="H55" s="42"/>
      <c r="I55" s="42"/>
      <c r="J55" s="15"/>
      <c r="K55" s="42"/>
      <c r="L55" s="15"/>
      <c r="M55" s="21"/>
      <c r="N55" s="21"/>
      <c r="O55" s="21"/>
      <c r="P55" s="21"/>
      <c r="Q55" s="21"/>
      <c r="R55" s="21"/>
    </row>
    <row r="56" spans="1:18" ht="6.75" customHeight="1" x14ac:dyDescent="0.3">
      <c r="A56" s="21"/>
      <c r="B56" s="267"/>
      <c r="C56" s="267"/>
      <c r="D56" s="235"/>
      <c r="E56" s="235"/>
      <c r="F56" s="235"/>
      <c r="G56" s="235"/>
      <c r="H56" s="235"/>
      <c r="I56" s="235"/>
      <c r="J56" s="21"/>
      <c r="K56" s="21"/>
      <c r="L56" s="21"/>
      <c r="M56" s="21"/>
      <c r="N56" s="21"/>
      <c r="O56" s="21"/>
      <c r="P56" s="21"/>
      <c r="Q56" s="21"/>
      <c r="R56" s="21"/>
    </row>
    <row r="57" spans="1:18" ht="17.25" x14ac:dyDescent="0.3">
      <c r="A57" s="21"/>
      <c r="B57" s="23" t="s">
        <v>44</v>
      </c>
      <c r="C57" s="41"/>
      <c r="D57" s="42"/>
      <c r="E57" s="42"/>
      <c r="F57" s="42"/>
      <c r="G57" s="42"/>
      <c r="H57" s="42"/>
      <c r="I57" s="42"/>
      <c r="J57" s="15"/>
      <c r="K57" s="42"/>
      <c r="L57" s="15"/>
      <c r="M57" s="21"/>
      <c r="N57" s="21"/>
      <c r="O57" s="21"/>
      <c r="P57" s="21"/>
      <c r="Q57" s="21"/>
      <c r="R57" s="21"/>
    </row>
    <row r="58" spans="1:18" ht="5.25" customHeight="1" thickBot="1" x14ac:dyDescent="0.35">
      <c r="A58" s="21"/>
      <c r="B58" s="247"/>
      <c r="C58" s="247"/>
      <c r="D58" s="235"/>
      <c r="E58" s="235"/>
      <c r="F58" s="235"/>
      <c r="G58" s="235"/>
      <c r="H58" s="235"/>
      <c r="I58" s="235"/>
      <c r="J58" s="21"/>
      <c r="K58" s="21"/>
      <c r="L58" s="21"/>
      <c r="M58" s="21"/>
      <c r="N58" s="21"/>
      <c r="O58" s="21"/>
      <c r="P58" s="21"/>
      <c r="Q58" s="21"/>
      <c r="R58" s="21"/>
    </row>
    <row r="59" spans="1:18" x14ac:dyDescent="0.25">
      <c r="A59" s="21"/>
      <c r="B59" s="27"/>
      <c r="C59" s="27" t="s">
        <v>7</v>
      </c>
      <c r="D59" s="27" t="s">
        <v>8</v>
      </c>
      <c r="E59" s="27"/>
      <c r="F59" s="27" t="s">
        <v>26</v>
      </c>
      <c r="G59" s="27" t="s">
        <v>10</v>
      </c>
      <c r="H59" s="27"/>
      <c r="I59" s="27" t="s">
        <v>27</v>
      </c>
      <c r="J59" s="27" t="s">
        <v>28</v>
      </c>
      <c r="K59" s="21"/>
      <c r="L59" s="21"/>
      <c r="M59" s="21"/>
      <c r="N59" s="21"/>
      <c r="O59" s="21"/>
      <c r="P59" s="21"/>
      <c r="Q59" s="21"/>
      <c r="R59" s="21"/>
    </row>
    <row r="60" spans="1:18" x14ac:dyDescent="0.25">
      <c r="A60" s="21"/>
      <c r="B60" s="255" t="s">
        <v>6</v>
      </c>
      <c r="C60" s="361">
        <v>11922</v>
      </c>
      <c r="D60" s="320">
        <v>13797</v>
      </c>
      <c r="E60" s="255" t="s">
        <v>6</v>
      </c>
      <c r="F60" s="281">
        <v>14996</v>
      </c>
      <c r="G60" s="320">
        <v>13568</v>
      </c>
      <c r="H60" s="255" t="s">
        <v>6</v>
      </c>
      <c r="I60" s="281">
        <v>13752</v>
      </c>
      <c r="J60" s="281">
        <v>17905</v>
      </c>
      <c r="K60" s="21"/>
      <c r="L60" s="21"/>
      <c r="M60" s="21"/>
      <c r="N60" s="21"/>
      <c r="O60" s="21"/>
      <c r="P60" s="21"/>
      <c r="Q60" s="21"/>
      <c r="R60" s="21"/>
    </row>
    <row r="61" spans="1:18" x14ac:dyDescent="0.25">
      <c r="A61" s="21"/>
      <c r="B61" s="285" t="s">
        <v>45</v>
      </c>
      <c r="C61" s="362">
        <v>3714</v>
      </c>
      <c r="D61" s="321">
        <v>5702</v>
      </c>
      <c r="E61" s="285" t="s">
        <v>45</v>
      </c>
      <c r="F61" s="287">
        <f>484+5422</f>
        <v>5906</v>
      </c>
      <c r="G61" s="321">
        <v>5710</v>
      </c>
      <c r="H61" s="285" t="s">
        <v>45</v>
      </c>
      <c r="I61" s="287">
        <v>6564</v>
      </c>
      <c r="J61" s="287">
        <v>5972</v>
      </c>
      <c r="K61" s="21"/>
      <c r="L61" s="21"/>
      <c r="M61" s="21"/>
      <c r="N61" s="21"/>
      <c r="O61" s="21"/>
      <c r="P61" s="21"/>
      <c r="Q61" s="21"/>
      <c r="R61" s="21"/>
    </row>
    <row r="62" spans="1:18" x14ac:dyDescent="0.25">
      <c r="A62" s="21"/>
      <c r="B62" s="285" t="s">
        <v>46</v>
      </c>
      <c r="C62" s="362">
        <v>4814</v>
      </c>
      <c r="D62" s="321">
        <v>4515</v>
      </c>
      <c r="E62" s="285" t="s">
        <v>46</v>
      </c>
      <c r="F62" s="287">
        <f>1680+2366</f>
        <v>4046</v>
      </c>
      <c r="G62" s="321">
        <v>3337</v>
      </c>
      <c r="H62" s="285" t="s">
        <v>46</v>
      </c>
      <c r="I62" s="287">
        <v>2906</v>
      </c>
      <c r="J62" s="287">
        <v>2752</v>
      </c>
      <c r="K62" s="21"/>
      <c r="L62" s="21"/>
      <c r="M62" s="21"/>
      <c r="N62" s="21"/>
      <c r="O62" s="21"/>
      <c r="P62" s="21"/>
      <c r="Q62" s="21"/>
      <c r="R62" s="21"/>
    </row>
    <row r="63" spans="1:18" ht="24" customHeight="1" x14ac:dyDescent="0.25">
      <c r="A63" s="21"/>
      <c r="B63" s="285" t="s">
        <v>47</v>
      </c>
      <c r="C63" s="362">
        <v>1580</v>
      </c>
      <c r="D63" s="321">
        <v>1634</v>
      </c>
      <c r="E63" s="285" t="s">
        <v>47</v>
      </c>
      <c r="F63" s="287">
        <v>1522</v>
      </c>
      <c r="G63" s="321">
        <v>1437</v>
      </c>
      <c r="H63" s="285" t="s">
        <v>47</v>
      </c>
      <c r="I63" s="287">
        <v>1412</v>
      </c>
      <c r="J63" s="287">
        <v>1443</v>
      </c>
      <c r="K63" s="21"/>
      <c r="L63" s="21"/>
      <c r="M63" s="21"/>
      <c r="N63" s="21"/>
      <c r="O63" s="21"/>
      <c r="P63" s="21"/>
      <c r="Q63" s="21"/>
      <c r="R63" s="21"/>
    </row>
    <row r="64" spans="1:18" x14ac:dyDescent="0.25">
      <c r="A64" s="21"/>
      <c r="B64" s="285" t="s">
        <v>20</v>
      </c>
      <c r="C64" s="362">
        <v>1101</v>
      </c>
      <c r="D64" s="321">
        <v>1220</v>
      </c>
      <c r="E64" s="285" t="s">
        <v>20</v>
      </c>
      <c r="F64" s="287">
        <v>1159</v>
      </c>
      <c r="G64" s="321">
        <v>1048</v>
      </c>
      <c r="H64" s="285" t="s">
        <v>20</v>
      </c>
      <c r="I64" s="287">
        <v>1278</v>
      </c>
      <c r="J64" s="287">
        <v>1226</v>
      </c>
      <c r="K64" s="21"/>
      <c r="L64" s="21"/>
      <c r="M64" s="21"/>
      <c r="N64" s="21"/>
      <c r="O64" s="21"/>
      <c r="P64" s="21"/>
      <c r="Q64" s="21"/>
      <c r="R64" s="21"/>
    </row>
    <row r="65" spans="1:18" ht="16.5" thickBot="1" x14ac:dyDescent="0.3">
      <c r="A65" s="21"/>
      <c r="B65" s="258" t="s">
        <v>48</v>
      </c>
      <c r="C65" s="363">
        <v>713</v>
      </c>
      <c r="D65" s="322">
        <v>726</v>
      </c>
      <c r="E65" s="285" t="s">
        <v>49</v>
      </c>
      <c r="F65" s="287">
        <v>1705</v>
      </c>
      <c r="G65" s="321">
        <v>1487</v>
      </c>
      <c r="H65" s="285" t="s">
        <v>49</v>
      </c>
      <c r="I65" s="287">
        <v>1300</v>
      </c>
      <c r="J65" s="287">
        <v>1292</v>
      </c>
      <c r="K65" s="21"/>
      <c r="L65" s="21"/>
      <c r="M65" s="21"/>
      <c r="N65" s="21"/>
      <c r="O65" s="21"/>
      <c r="P65" s="21"/>
      <c r="Q65" s="21"/>
      <c r="R65" s="21"/>
    </row>
    <row r="66" spans="1:18" ht="18" thickBot="1" x14ac:dyDescent="0.35">
      <c r="A66" s="21"/>
      <c r="B66" s="235"/>
      <c r="C66" s="21"/>
      <c r="D66" s="235"/>
      <c r="E66" s="258" t="s">
        <v>50</v>
      </c>
      <c r="F66" s="291">
        <v>658</v>
      </c>
      <c r="G66" s="322">
        <v>549</v>
      </c>
      <c r="H66" s="285" t="s">
        <v>51</v>
      </c>
      <c r="I66" s="287" t="s">
        <v>52</v>
      </c>
      <c r="J66" s="287">
        <v>4918</v>
      </c>
      <c r="K66" s="21"/>
      <c r="L66" s="21"/>
      <c r="M66" s="21"/>
      <c r="N66" s="21"/>
      <c r="O66" s="21"/>
      <c r="P66" s="21"/>
      <c r="Q66" s="21"/>
      <c r="R66" s="21"/>
    </row>
    <row r="67" spans="1:18" ht="18" thickBot="1" x14ac:dyDescent="0.35">
      <c r="A67" s="21"/>
      <c r="B67" s="235"/>
      <c r="C67" s="21"/>
      <c r="D67" s="235"/>
      <c r="E67" s="235"/>
      <c r="F67" s="235"/>
      <c r="G67" s="235"/>
      <c r="H67" s="258" t="s">
        <v>53</v>
      </c>
      <c r="I67" s="291">
        <v>292</v>
      </c>
      <c r="J67" s="291">
        <v>302</v>
      </c>
      <c r="K67" s="21"/>
      <c r="L67" s="21"/>
      <c r="M67" s="21"/>
      <c r="N67" s="21"/>
      <c r="O67" s="21"/>
      <c r="P67" s="21"/>
      <c r="Q67" s="21"/>
      <c r="R67" s="21"/>
    </row>
    <row r="68" spans="1:18" ht="17.25" x14ac:dyDescent="0.3">
      <c r="A68" s="21"/>
      <c r="B68" s="267"/>
      <c r="C68" s="267"/>
      <c r="D68" s="235"/>
      <c r="E68" s="235"/>
      <c r="F68" s="235"/>
      <c r="G68" s="235"/>
      <c r="H68" s="235"/>
      <c r="I68" s="235"/>
      <c r="J68" s="21"/>
      <c r="K68" s="21"/>
      <c r="L68" s="21"/>
      <c r="M68" s="21"/>
      <c r="N68" s="21"/>
      <c r="O68" s="21"/>
      <c r="P68" s="21"/>
      <c r="Q68" s="21"/>
      <c r="R68" s="21"/>
    </row>
    <row r="69" spans="1:18" ht="17.25" x14ac:dyDescent="0.3">
      <c r="A69" s="21"/>
      <c r="B69" s="23" t="s">
        <v>54</v>
      </c>
      <c r="C69" s="23"/>
      <c r="D69" s="42"/>
      <c r="E69" s="42"/>
      <c r="F69" s="42"/>
      <c r="G69" s="42"/>
      <c r="H69" s="42"/>
      <c r="I69" s="42"/>
      <c r="J69" s="15"/>
      <c r="K69" s="42"/>
      <c r="L69" s="15"/>
      <c r="M69" s="21"/>
      <c r="N69" s="21"/>
      <c r="O69" s="21"/>
      <c r="P69" s="21"/>
      <c r="Q69" s="21"/>
      <c r="R69" s="21"/>
    </row>
    <row r="70" spans="1:18" ht="6" customHeight="1" thickBot="1" x14ac:dyDescent="0.35">
      <c r="A70" s="21"/>
      <c r="B70" s="247"/>
      <c r="C70" s="247"/>
      <c r="D70" s="235"/>
      <c r="E70" s="235"/>
      <c r="F70" s="235"/>
      <c r="G70" s="235"/>
      <c r="H70" s="235"/>
      <c r="I70" s="235"/>
      <c r="J70" s="21"/>
      <c r="K70" s="21"/>
      <c r="L70" s="21"/>
      <c r="M70" s="21"/>
      <c r="N70" s="21"/>
      <c r="O70" s="21"/>
      <c r="P70" s="21"/>
      <c r="Q70" s="21"/>
      <c r="R70" s="21"/>
    </row>
    <row r="71" spans="1:18" x14ac:dyDescent="0.25">
      <c r="A71" s="21"/>
      <c r="B71" s="27"/>
      <c r="C71" s="27" t="s">
        <v>7</v>
      </c>
      <c r="D71" s="27" t="s">
        <v>8</v>
      </c>
      <c r="E71" s="27"/>
      <c r="F71" s="27" t="s">
        <v>26</v>
      </c>
      <c r="G71" s="27" t="s">
        <v>10</v>
      </c>
      <c r="H71" s="27"/>
      <c r="I71" s="27" t="s">
        <v>27</v>
      </c>
      <c r="J71" s="27" t="s">
        <v>28</v>
      </c>
      <c r="K71" s="21"/>
      <c r="L71" s="21"/>
      <c r="M71" s="21"/>
      <c r="N71" s="21"/>
      <c r="O71" s="21"/>
      <c r="P71" s="21"/>
      <c r="Q71" s="21"/>
      <c r="R71" s="21"/>
    </row>
    <row r="72" spans="1:18" x14ac:dyDescent="0.25">
      <c r="A72" s="21"/>
      <c r="B72" s="255" t="s">
        <v>6</v>
      </c>
      <c r="C72" s="364" t="s">
        <v>55</v>
      </c>
      <c r="D72" s="320" t="s">
        <v>56</v>
      </c>
      <c r="E72" s="255" t="s">
        <v>6</v>
      </c>
      <c r="F72" s="281" t="s">
        <v>57</v>
      </c>
      <c r="G72" s="320" t="s">
        <v>58</v>
      </c>
      <c r="H72" s="255" t="s">
        <v>6</v>
      </c>
      <c r="I72" s="281" t="s">
        <v>59</v>
      </c>
      <c r="J72" s="281" t="s">
        <v>60</v>
      </c>
      <c r="K72" s="21"/>
      <c r="L72" s="21"/>
      <c r="M72" s="21"/>
      <c r="N72" s="21"/>
      <c r="O72" s="21"/>
      <c r="P72" s="21"/>
      <c r="Q72" s="21"/>
      <c r="R72" s="21"/>
    </row>
    <row r="73" spans="1:18" x14ac:dyDescent="0.25">
      <c r="A73" s="21"/>
      <c r="B73" s="285" t="s">
        <v>45</v>
      </c>
      <c r="C73" s="365" t="s">
        <v>61</v>
      </c>
      <c r="D73" s="321" t="s">
        <v>62</v>
      </c>
      <c r="E73" s="285" t="s">
        <v>45</v>
      </c>
      <c r="F73" s="287" t="s">
        <v>63</v>
      </c>
      <c r="G73" s="321" t="s">
        <v>64</v>
      </c>
      <c r="H73" s="285" t="s">
        <v>45</v>
      </c>
      <c r="I73" s="287" t="s">
        <v>65</v>
      </c>
      <c r="J73" s="287" t="s">
        <v>66</v>
      </c>
      <c r="K73" s="21"/>
      <c r="L73" s="21"/>
      <c r="M73" s="21"/>
      <c r="N73" s="21"/>
      <c r="O73" s="21"/>
      <c r="P73" s="21"/>
      <c r="Q73" s="21"/>
      <c r="R73" s="21"/>
    </row>
    <row r="74" spans="1:18" x14ac:dyDescent="0.25">
      <c r="A74" s="21"/>
      <c r="B74" s="285" t="s">
        <v>46</v>
      </c>
      <c r="C74" s="365" t="s">
        <v>67</v>
      </c>
      <c r="D74" s="321" t="s">
        <v>68</v>
      </c>
      <c r="E74" s="285" t="s">
        <v>46</v>
      </c>
      <c r="F74" s="287" t="s">
        <v>69</v>
      </c>
      <c r="G74" s="321" t="s">
        <v>70</v>
      </c>
      <c r="H74" s="285" t="s">
        <v>46</v>
      </c>
      <c r="I74" s="287" t="s">
        <v>71</v>
      </c>
      <c r="J74" s="287" t="s">
        <v>72</v>
      </c>
      <c r="K74" s="21"/>
      <c r="L74" s="21"/>
      <c r="M74" s="21"/>
      <c r="N74" s="21"/>
      <c r="O74" s="21"/>
      <c r="P74" s="21"/>
      <c r="Q74" s="21"/>
      <c r="R74" s="21"/>
    </row>
    <row r="75" spans="1:18" ht="28.5" x14ac:dyDescent="0.25">
      <c r="A75" s="21"/>
      <c r="B75" s="285" t="s">
        <v>47</v>
      </c>
      <c r="C75" s="365" t="s">
        <v>73</v>
      </c>
      <c r="D75" s="321" t="s">
        <v>74</v>
      </c>
      <c r="E75" s="285" t="s">
        <v>47</v>
      </c>
      <c r="F75" s="287" t="s">
        <v>75</v>
      </c>
      <c r="G75" s="321" t="s">
        <v>76</v>
      </c>
      <c r="H75" s="285" t="s">
        <v>47</v>
      </c>
      <c r="I75" s="287" t="s">
        <v>77</v>
      </c>
      <c r="J75" s="287" t="s">
        <v>78</v>
      </c>
      <c r="K75" s="21"/>
      <c r="L75" s="21"/>
      <c r="M75" s="21"/>
      <c r="N75" s="21"/>
      <c r="O75" s="21"/>
      <c r="P75" s="21"/>
      <c r="Q75" s="21"/>
      <c r="R75" s="21"/>
    </row>
    <row r="76" spans="1:18" x14ac:dyDescent="0.25">
      <c r="A76" s="21"/>
      <c r="B76" s="285" t="s">
        <v>20</v>
      </c>
      <c r="C76" s="365" t="s">
        <v>79</v>
      </c>
      <c r="D76" s="321" t="s">
        <v>80</v>
      </c>
      <c r="E76" s="285" t="s">
        <v>20</v>
      </c>
      <c r="F76" s="287" t="s">
        <v>81</v>
      </c>
      <c r="G76" s="321" t="s">
        <v>82</v>
      </c>
      <c r="H76" s="285" t="s">
        <v>20</v>
      </c>
      <c r="I76" s="287" t="s">
        <v>83</v>
      </c>
      <c r="J76" s="287" t="s">
        <v>84</v>
      </c>
      <c r="K76" s="21"/>
      <c r="L76" s="21"/>
      <c r="M76" s="21"/>
      <c r="N76" s="21"/>
      <c r="O76" s="21"/>
      <c r="P76" s="21"/>
      <c r="Q76" s="21"/>
      <c r="R76" s="21"/>
    </row>
    <row r="77" spans="1:18" ht="16.5" thickBot="1" x14ac:dyDescent="0.3">
      <c r="A77" s="21"/>
      <c r="B77" s="258" t="s">
        <v>48</v>
      </c>
      <c r="C77" s="366" t="s">
        <v>85</v>
      </c>
      <c r="D77" s="322" t="s">
        <v>86</v>
      </c>
      <c r="E77" s="285" t="s">
        <v>49</v>
      </c>
      <c r="F77" s="287" t="s">
        <v>87</v>
      </c>
      <c r="G77" s="321" t="s">
        <v>88</v>
      </c>
      <c r="H77" s="285" t="s">
        <v>49</v>
      </c>
      <c r="I77" s="287" t="s">
        <v>89</v>
      </c>
      <c r="J77" s="287" t="s">
        <v>90</v>
      </c>
      <c r="K77" s="21"/>
      <c r="L77" s="21"/>
      <c r="M77" s="21"/>
      <c r="N77" s="21"/>
      <c r="O77" s="21"/>
      <c r="P77" s="21"/>
      <c r="Q77" s="21"/>
      <c r="R77" s="21"/>
    </row>
    <row r="78" spans="1:18" ht="18" thickBot="1" x14ac:dyDescent="0.35">
      <c r="A78" s="21"/>
      <c r="B78" s="235"/>
      <c r="C78" s="21"/>
      <c r="D78" s="235"/>
      <c r="E78" s="258" t="s">
        <v>48</v>
      </c>
      <c r="F78" s="291" t="s">
        <v>91</v>
      </c>
      <c r="G78" s="322" t="s">
        <v>92</v>
      </c>
      <c r="H78" s="285" t="s">
        <v>93</v>
      </c>
      <c r="I78" s="287" t="s">
        <v>52</v>
      </c>
      <c r="J78" s="287" t="s">
        <v>94</v>
      </c>
      <c r="K78" s="21"/>
      <c r="L78" s="21"/>
      <c r="M78" s="21"/>
      <c r="N78" s="21"/>
      <c r="O78" s="21"/>
      <c r="P78" s="21"/>
      <c r="Q78" s="21"/>
      <c r="R78" s="21"/>
    </row>
    <row r="79" spans="1:18" ht="18" thickBot="1" x14ac:dyDescent="0.35">
      <c r="A79" s="21"/>
      <c r="B79" s="235"/>
      <c r="C79" s="21"/>
      <c r="D79" s="235"/>
      <c r="E79" s="235"/>
      <c r="F79" s="235"/>
      <c r="G79" s="235"/>
      <c r="H79" s="258" t="s">
        <v>53</v>
      </c>
      <c r="I79" s="291" t="s">
        <v>95</v>
      </c>
      <c r="J79" s="291" t="s">
        <v>96</v>
      </c>
      <c r="K79" s="21"/>
      <c r="L79" s="21"/>
      <c r="M79" s="21"/>
      <c r="N79" s="21"/>
      <c r="O79" s="21"/>
      <c r="P79" s="21"/>
      <c r="Q79" s="21"/>
      <c r="R79" s="21"/>
    </row>
    <row r="80" spans="1:18" ht="17.25" x14ac:dyDescent="0.3">
      <c r="A80" s="21"/>
      <c r="B80" s="247"/>
      <c r="C80" s="247"/>
      <c r="D80" s="235"/>
      <c r="E80" s="235"/>
      <c r="F80" s="235"/>
      <c r="G80" s="235"/>
      <c r="H80" s="235"/>
      <c r="I80" s="235"/>
      <c r="J80" s="21"/>
      <c r="K80" s="21"/>
      <c r="L80" s="21"/>
      <c r="M80" s="21"/>
      <c r="N80" s="21"/>
      <c r="O80" s="21"/>
      <c r="P80" s="21"/>
      <c r="Q80" s="21"/>
      <c r="R80" s="21"/>
    </row>
    <row r="81" spans="1:18" ht="17.25" x14ac:dyDescent="0.3">
      <c r="A81" s="21"/>
      <c r="B81" s="23" t="s">
        <v>97</v>
      </c>
      <c r="C81" s="23"/>
      <c r="D81" s="42"/>
      <c r="E81" s="42"/>
      <c r="F81" s="42"/>
      <c r="G81" s="42"/>
      <c r="H81" s="42"/>
      <c r="I81" s="42"/>
      <c r="J81" s="15"/>
      <c r="K81" s="42"/>
      <c r="L81" s="15"/>
      <c r="M81" s="21"/>
      <c r="N81" s="21"/>
      <c r="O81" s="21"/>
      <c r="P81" s="21"/>
      <c r="Q81" s="21"/>
      <c r="R81" s="21"/>
    </row>
    <row r="82" spans="1:18" ht="5.25" customHeight="1" thickBot="1" x14ac:dyDescent="0.35">
      <c r="A82" s="21"/>
      <c r="B82" s="247"/>
      <c r="C82" s="247"/>
      <c r="D82" s="235"/>
      <c r="E82" s="235"/>
      <c r="F82" s="235"/>
      <c r="G82" s="235"/>
      <c r="H82" s="235"/>
      <c r="I82" s="235"/>
      <c r="J82" s="21"/>
      <c r="K82" s="21"/>
      <c r="L82" s="21"/>
      <c r="M82" s="21"/>
      <c r="N82" s="21"/>
      <c r="O82" s="21"/>
      <c r="P82" s="21"/>
      <c r="Q82" s="21"/>
      <c r="R82" s="21"/>
    </row>
    <row r="83" spans="1:18" x14ac:dyDescent="0.25">
      <c r="A83" s="21"/>
      <c r="B83" s="27"/>
      <c r="C83" s="27" t="s">
        <v>7</v>
      </c>
      <c r="D83" s="27" t="s">
        <v>8</v>
      </c>
      <c r="E83" s="27"/>
      <c r="F83" s="27" t="s">
        <v>26</v>
      </c>
      <c r="G83" s="27" t="s">
        <v>10</v>
      </c>
      <c r="H83" s="27"/>
      <c r="I83" s="27" t="s">
        <v>27</v>
      </c>
      <c r="J83" s="27" t="s">
        <v>28</v>
      </c>
      <c r="K83" s="21"/>
      <c r="L83" s="21"/>
      <c r="M83" s="21"/>
      <c r="N83" s="21"/>
      <c r="O83" s="21"/>
      <c r="P83" s="21"/>
      <c r="Q83" s="21"/>
      <c r="R83" s="21"/>
    </row>
    <row r="84" spans="1:18" x14ac:dyDescent="0.25">
      <c r="A84" s="21"/>
      <c r="B84" s="255" t="s">
        <v>6</v>
      </c>
      <c r="C84" s="364" t="s">
        <v>98</v>
      </c>
      <c r="D84" s="320" t="s">
        <v>99</v>
      </c>
      <c r="E84" s="255" t="s">
        <v>6</v>
      </c>
      <c r="F84" s="281" t="s">
        <v>87</v>
      </c>
      <c r="G84" s="320" t="s">
        <v>100</v>
      </c>
      <c r="H84" s="255" t="s">
        <v>6</v>
      </c>
      <c r="I84" s="281" t="s">
        <v>101</v>
      </c>
      <c r="J84" s="281" t="s">
        <v>102</v>
      </c>
      <c r="K84" s="21"/>
      <c r="L84" s="21"/>
      <c r="M84" s="21"/>
      <c r="N84" s="21"/>
      <c r="O84" s="21"/>
      <c r="P84" s="21"/>
      <c r="Q84" s="21"/>
      <c r="R84" s="21"/>
    </row>
    <row r="85" spans="1:18" x14ac:dyDescent="0.25">
      <c r="A85" s="21"/>
      <c r="B85" s="285" t="s">
        <v>45</v>
      </c>
      <c r="C85" s="365" t="s">
        <v>103</v>
      </c>
      <c r="D85" s="321" t="s">
        <v>104</v>
      </c>
      <c r="E85" s="285" t="s">
        <v>45</v>
      </c>
      <c r="F85" s="287" t="s">
        <v>105</v>
      </c>
      <c r="G85" s="321" t="s">
        <v>106</v>
      </c>
      <c r="H85" s="285" t="s">
        <v>45</v>
      </c>
      <c r="I85" s="287" t="s">
        <v>107</v>
      </c>
      <c r="J85" s="287" t="s">
        <v>108</v>
      </c>
      <c r="K85" s="21"/>
      <c r="L85" s="21"/>
      <c r="M85" s="21"/>
      <c r="N85" s="21"/>
      <c r="O85" s="21"/>
      <c r="P85" s="21"/>
      <c r="Q85" s="21"/>
      <c r="R85" s="21"/>
    </row>
    <row r="86" spans="1:18" x14ac:dyDescent="0.25">
      <c r="A86" s="21"/>
      <c r="B86" s="285" t="s">
        <v>46</v>
      </c>
      <c r="C86" s="365" t="s">
        <v>109</v>
      </c>
      <c r="D86" s="321" t="s">
        <v>110</v>
      </c>
      <c r="E86" s="285" t="s">
        <v>46</v>
      </c>
      <c r="F86" s="287" t="s">
        <v>111</v>
      </c>
      <c r="G86" s="321" t="s">
        <v>112</v>
      </c>
      <c r="H86" s="285" t="s">
        <v>46</v>
      </c>
      <c r="I86" s="287" t="s">
        <v>113</v>
      </c>
      <c r="J86" s="287" t="s">
        <v>114</v>
      </c>
      <c r="K86" s="21"/>
      <c r="L86" s="21"/>
      <c r="M86" s="21"/>
      <c r="N86" s="21"/>
      <c r="O86" s="21"/>
      <c r="P86" s="21"/>
      <c r="Q86" s="21"/>
      <c r="R86" s="21"/>
    </row>
    <row r="87" spans="1:18" ht="28.5" x14ac:dyDescent="0.25">
      <c r="A87" s="21"/>
      <c r="B87" s="285" t="s">
        <v>47</v>
      </c>
      <c r="C87" s="365" t="s">
        <v>115</v>
      </c>
      <c r="D87" s="321" t="s">
        <v>116</v>
      </c>
      <c r="E87" s="285" t="s">
        <v>47</v>
      </c>
      <c r="F87" s="287" t="s">
        <v>117</v>
      </c>
      <c r="G87" s="321" t="s">
        <v>118</v>
      </c>
      <c r="H87" s="285" t="s">
        <v>47</v>
      </c>
      <c r="I87" s="287" t="s">
        <v>119</v>
      </c>
      <c r="J87" s="287" t="s">
        <v>120</v>
      </c>
      <c r="K87" s="21"/>
      <c r="L87" s="21"/>
      <c r="M87" s="21"/>
      <c r="N87" s="21"/>
      <c r="O87" s="21"/>
      <c r="P87" s="21"/>
      <c r="Q87" s="21"/>
      <c r="R87" s="21"/>
    </row>
    <row r="88" spans="1:18" x14ac:dyDescent="0.25">
      <c r="A88" s="21"/>
      <c r="B88" s="285" t="s">
        <v>20</v>
      </c>
      <c r="C88" s="365" t="s">
        <v>121</v>
      </c>
      <c r="D88" s="321" t="s">
        <v>122</v>
      </c>
      <c r="E88" s="285" t="s">
        <v>20</v>
      </c>
      <c r="F88" s="287" t="s">
        <v>123</v>
      </c>
      <c r="G88" s="321" t="s">
        <v>82</v>
      </c>
      <c r="H88" s="285" t="s">
        <v>20</v>
      </c>
      <c r="I88" s="287" t="s">
        <v>124</v>
      </c>
      <c r="J88" s="287" t="s">
        <v>125</v>
      </c>
      <c r="K88" s="21"/>
      <c r="L88" s="21"/>
      <c r="M88" s="21"/>
      <c r="N88" s="21"/>
      <c r="O88" s="21"/>
      <c r="P88" s="21"/>
      <c r="Q88" s="21"/>
      <c r="R88" s="21"/>
    </row>
    <row r="89" spans="1:18" ht="16.5" thickBot="1" x14ac:dyDescent="0.3">
      <c r="A89" s="21"/>
      <c r="B89" s="258" t="s">
        <v>48</v>
      </c>
      <c r="C89" s="366" t="s">
        <v>126</v>
      </c>
      <c r="D89" s="322" t="s">
        <v>127</v>
      </c>
      <c r="E89" s="285" t="s">
        <v>49</v>
      </c>
      <c r="F89" s="287" t="s">
        <v>128</v>
      </c>
      <c r="G89" s="321" t="s">
        <v>124</v>
      </c>
      <c r="H89" s="285" t="s">
        <v>49</v>
      </c>
      <c r="I89" s="287" t="s">
        <v>129</v>
      </c>
      <c r="J89" s="287" t="s">
        <v>130</v>
      </c>
      <c r="K89" s="21"/>
      <c r="L89" s="21"/>
      <c r="M89" s="21"/>
      <c r="N89" s="21"/>
      <c r="O89" s="21"/>
      <c r="P89" s="21"/>
      <c r="Q89" s="21"/>
      <c r="R89" s="21"/>
    </row>
    <row r="90" spans="1:18" ht="18" thickBot="1" x14ac:dyDescent="0.35">
      <c r="A90" s="21"/>
      <c r="B90" s="247"/>
      <c r="C90" s="21"/>
      <c r="D90" s="235"/>
      <c r="E90" s="258" t="s">
        <v>48</v>
      </c>
      <c r="F90" s="291" t="s">
        <v>131</v>
      </c>
      <c r="G90" s="322" t="s">
        <v>132</v>
      </c>
      <c r="H90" s="285" t="s">
        <v>93</v>
      </c>
      <c r="I90" s="287" t="s">
        <v>52</v>
      </c>
      <c r="J90" s="287" t="s">
        <v>112</v>
      </c>
      <c r="K90" s="21"/>
      <c r="L90" s="21"/>
      <c r="M90" s="21"/>
      <c r="N90" s="21"/>
      <c r="O90" s="21"/>
      <c r="P90" s="21"/>
      <c r="Q90" s="21"/>
      <c r="R90" s="21"/>
    </row>
    <row r="91" spans="1:18" ht="18" thickBot="1" x14ac:dyDescent="0.35">
      <c r="A91" s="21"/>
      <c r="B91" s="235"/>
      <c r="C91" s="21"/>
      <c r="D91" s="235"/>
      <c r="E91" s="235"/>
      <c r="F91" s="235"/>
      <c r="G91" s="235"/>
      <c r="H91" s="258" t="s">
        <v>53</v>
      </c>
      <c r="I91" s="291" t="s">
        <v>133</v>
      </c>
      <c r="J91" s="291" t="s">
        <v>134</v>
      </c>
      <c r="K91" s="21"/>
      <c r="L91" s="21"/>
      <c r="M91" s="21"/>
      <c r="N91" s="21"/>
      <c r="O91" s="21"/>
      <c r="P91" s="21"/>
      <c r="Q91" s="21"/>
      <c r="R91" s="21"/>
    </row>
    <row r="92" spans="1:18" ht="17.25" x14ac:dyDescent="0.3">
      <c r="A92" s="21"/>
      <c r="B92" s="235"/>
      <c r="C92" s="21"/>
      <c r="D92" s="235"/>
      <c r="E92" s="235"/>
      <c r="F92" s="235"/>
      <c r="G92" s="235"/>
      <c r="H92" s="278"/>
      <c r="I92" s="352"/>
      <c r="J92" s="352"/>
      <c r="K92" s="21"/>
      <c r="L92" s="21"/>
      <c r="M92" s="21"/>
      <c r="N92" s="21"/>
      <c r="O92" s="21"/>
      <c r="P92" s="21"/>
      <c r="Q92" s="21"/>
      <c r="R92" s="21"/>
    </row>
    <row r="93" spans="1:18" ht="17.25" x14ac:dyDescent="0.3">
      <c r="A93" s="21"/>
      <c r="B93" s="23" t="s">
        <v>135</v>
      </c>
      <c r="C93" s="23"/>
      <c r="D93" s="42"/>
      <c r="E93" s="42"/>
      <c r="F93" s="42"/>
      <c r="G93" s="42"/>
      <c r="H93" s="42"/>
      <c r="I93" s="42"/>
      <c r="J93" s="15"/>
      <c r="K93" s="42"/>
      <c r="L93" s="15"/>
      <c r="M93" s="21"/>
      <c r="N93" s="21"/>
      <c r="O93" s="21"/>
      <c r="P93" s="21"/>
      <c r="Q93" s="21"/>
      <c r="R93" s="21"/>
    </row>
    <row r="94" spans="1:18" ht="5.25" customHeight="1" thickBot="1" x14ac:dyDescent="0.35">
      <c r="A94" s="21"/>
      <c r="B94" s="247"/>
      <c r="C94" s="247"/>
      <c r="D94" s="235"/>
      <c r="E94" s="235"/>
      <c r="F94" s="235"/>
      <c r="G94" s="235"/>
      <c r="H94" s="235"/>
      <c r="I94" s="235"/>
      <c r="J94" s="21"/>
      <c r="K94" s="21"/>
      <c r="L94" s="21"/>
      <c r="M94" s="21"/>
      <c r="N94" s="21"/>
      <c r="O94" s="21"/>
      <c r="P94" s="21"/>
      <c r="Q94" s="21"/>
      <c r="R94" s="21"/>
    </row>
    <row r="95" spans="1:18" ht="18" thickBot="1" x14ac:dyDescent="0.35">
      <c r="A95" s="21"/>
      <c r="B95" s="405" t="s">
        <v>136</v>
      </c>
      <c r="C95" s="399" t="s">
        <v>7</v>
      </c>
      <c r="D95" s="400"/>
      <c r="E95" s="235"/>
      <c r="F95" s="405" t="s">
        <v>137</v>
      </c>
      <c r="G95" s="399" t="s">
        <v>7</v>
      </c>
      <c r="H95" s="400"/>
      <c r="I95" s="352"/>
      <c r="J95" s="352"/>
      <c r="K95" s="21"/>
      <c r="L95" s="21"/>
      <c r="M95" s="21"/>
      <c r="N95" s="21"/>
      <c r="O95" s="21"/>
      <c r="P95" s="21"/>
      <c r="Q95" s="21"/>
      <c r="R95" s="21"/>
    </row>
    <row r="96" spans="1:18" ht="17.25" x14ac:dyDescent="0.3">
      <c r="A96" s="21"/>
      <c r="B96" s="406"/>
      <c r="C96" s="33" t="s">
        <v>138</v>
      </c>
      <c r="D96" s="33" t="s">
        <v>139</v>
      </c>
      <c r="E96" s="235"/>
      <c r="F96" s="406"/>
      <c r="G96" s="33" t="s">
        <v>138</v>
      </c>
      <c r="H96" s="33" t="s">
        <v>139</v>
      </c>
      <c r="I96" s="352"/>
      <c r="J96" s="352"/>
      <c r="K96" s="21"/>
      <c r="L96" s="21"/>
      <c r="M96" s="21"/>
      <c r="N96" s="21"/>
      <c r="O96" s="21"/>
      <c r="P96" s="21"/>
      <c r="Q96" s="21"/>
      <c r="R96" s="21"/>
    </row>
    <row r="97" spans="1:18" ht="17.25" x14ac:dyDescent="0.3">
      <c r="A97" s="21"/>
      <c r="B97" s="255" t="s">
        <v>6</v>
      </c>
      <c r="C97" s="367">
        <v>60.52</v>
      </c>
      <c r="D97" s="367">
        <v>39.479999999999997</v>
      </c>
      <c r="E97" s="235"/>
      <c r="F97" s="255" t="s">
        <v>6</v>
      </c>
      <c r="G97" s="364">
        <v>92.47</v>
      </c>
      <c r="H97" s="364">
        <v>7.53</v>
      </c>
      <c r="I97" s="352"/>
      <c r="J97" s="352"/>
      <c r="K97" s="21"/>
      <c r="L97" s="21"/>
      <c r="M97" s="21"/>
      <c r="N97" s="21"/>
      <c r="O97" s="21"/>
      <c r="P97" s="21"/>
      <c r="Q97" s="21"/>
      <c r="R97" s="21"/>
    </row>
    <row r="98" spans="1:18" ht="28.5" x14ac:dyDescent="0.3">
      <c r="A98" s="21"/>
      <c r="B98" s="285" t="s">
        <v>45</v>
      </c>
      <c r="C98" s="368">
        <v>69.38</v>
      </c>
      <c r="D98" s="368">
        <v>30.62</v>
      </c>
      <c r="E98" s="235"/>
      <c r="F98" s="285" t="s">
        <v>45</v>
      </c>
      <c r="G98" s="365">
        <v>95.87</v>
      </c>
      <c r="H98" s="365">
        <v>4.13</v>
      </c>
      <c r="I98" s="352"/>
      <c r="J98" s="352"/>
      <c r="K98" s="21"/>
      <c r="L98" s="21"/>
      <c r="M98" s="21"/>
      <c r="N98" s="21"/>
      <c r="O98" s="21"/>
      <c r="P98" s="21"/>
      <c r="Q98" s="21"/>
      <c r="R98" s="21"/>
    </row>
    <row r="99" spans="1:18" ht="17.25" x14ac:dyDescent="0.3">
      <c r="A99" s="21"/>
      <c r="B99" s="285" t="s">
        <v>46</v>
      </c>
      <c r="C99" s="368">
        <v>58.02</v>
      </c>
      <c r="D99" s="368">
        <v>41.98</v>
      </c>
      <c r="E99" s="235"/>
      <c r="F99" s="285" t="s">
        <v>46</v>
      </c>
      <c r="G99" s="365">
        <v>89.18</v>
      </c>
      <c r="H99" s="365">
        <v>10.82</v>
      </c>
      <c r="I99" s="352"/>
      <c r="J99" s="352"/>
      <c r="K99" s="21"/>
      <c r="L99" s="21"/>
      <c r="M99" s="21"/>
      <c r="N99" s="21"/>
      <c r="O99" s="21"/>
      <c r="P99" s="21"/>
      <c r="Q99" s="21"/>
      <c r="R99" s="21"/>
    </row>
    <row r="100" spans="1:18" ht="28.5" x14ac:dyDescent="0.3">
      <c r="A100" s="21"/>
      <c r="B100" s="285" t="s">
        <v>47</v>
      </c>
      <c r="C100" s="368">
        <v>59.69</v>
      </c>
      <c r="D100" s="368">
        <v>40.31</v>
      </c>
      <c r="E100" s="235"/>
      <c r="F100" s="285" t="s">
        <v>47</v>
      </c>
      <c r="G100" s="365">
        <v>96.49</v>
      </c>
      <c r="H100" s="365">
        <v>3.51</v>
      </c>
      <c r="I100" s="352"/>
      <c r="J100" s="352"/>
      <c r="K100" s="21"/>
      <c r="L100" s="21"/>
      <c r="M100" s="21"/>
      <c r="N100" s="21"/>
      <c r="O100" s="21"/>
      <c r="P100" s="21"/>
      <c r="Q100" s="21"/>
      <c r="R100" s="21"/>
    </row>
    <row r="101" spans="1:18" ht="17.25" x14ac:dyDescent="0.3">
      <c r="A101" s="21"/>
      <c r="B101" s="285" t="s">
        <v>20</v>
      </c>
      <c r="C101" s="368">
        <v>56.43</v>
      </c>
      <c r="D101" s="368">
        <v>43.57</v>
      </c>
      <c r="E101" s="235"/>
      <c r="F101" s="285" t="s">
        <v>20</v>
      </c>
      <c r="G101" s="365">
        <v>87.26</v>
      </c>
      <c r="H101" s="365">
        <v>12.74</v>
      </c>
      <c r="I101" s="352"/>
      <c r="J101" s="352"/>
      <c r="K101" s="21"/>
      <c r="L101" s="21"/>
      <c r="M101" s="21"/>
      <c r="N101" s="21"/>
      <c r="O101" s="21"/>
      <c r="P101" s="21"/>
      <c r="Q101" s="21"/>
      <c r="R101" s="21"/>
    </row>
    <row r="102" spans="1:18" ht="18" thickBot="1" x14ac:dyDescent="0.35">
      <c r="A102" s="21"/>
      <c r="B102" s="258" t="s">
        <v>48</v>
      </c>
      <c r="C102" s="369">
        <v>53.91</v>
      </c>
      <c r="D102" s="369">
        <v>39.479999999999997</v>
      </c>
      <c r="E102" s="235"/>
      <c r="F102" s="258" t="s">
        <v>48</v>
      </c>
      <c r="G102" s="366">
        <v>52.38</v>
      </c>
      <c r="H102" s="366">
        <v>47.62</v>
      </c>
      <c r="I102" s="352"/>
      <c r="J102" s="352"/>
      <c r="K102" s="21"/>
      <c r="L102" s="21"/>
      <c r="M102" s="21"/>
      <c r="N102" s="21"/>
      <c r="O102" s="21"/>
      <c r="P102" s="21"/>
      <c r="Q102" s="21"/>
      <c r="R102" s="21"/>
    </row>
    <row r="103" spans="1:18" ht="17.25" x14ac:dyDescent="0.3">
      <c r="A103" s="21"/>
      <c r="B103" s="235"/>
      <c r="C103" s="21"/>
      <c r="D103" s="235"/>
      <c r="E103" s="235"/>
      <c r="F103" s="235"/>
      <c r="G103" s="235"/>
      <c r="H103" s="278"/>
      <c r="I103" s="352"/>
      <c r="J103" s="352"/>
      <c r="K103" s="21"/>
      <c r="L103" s="21"/>
      <c r="M103" s="21"/>
      <c r="N103" s="21"/>
      <c r="O103" s="21"/>
      <c r="P103" s="21"/>
      <c r="Q103" s="21"/>
      <c r="R103" s="21"/>
    </row>
    <row r="104" spans="1:18" ht="17.25" x14ac:dyDescent="0.3">
      <c r="A104" s="21"/>
      <c r="B104" s="23" t="s">
        <v>140</v>
      </c>
      <c r="C104" s="23"/>
      <c r="D104" s="42"/>
      <c r="E104" s="42"/>
      <c r="F104" s="42"/>
      <c r="G104" s="42"/>
      <c r="H104" s="42"/>
      <c r="I104" s="42"/>
      <c r="J104" s="15"/>
      <c r="K104" s="42"/>
      <c r="L104" s="42"/>
      <c r="M104" s="21"/>
      <c r="N104" s="21"/>
      <c r="O104" s="21"/>
      <c r="P104" s="21"/>
      <c r="Q104" s="21"/>
      <c r="R104" s="21"/>
    </row>
    <row r="105" spans="1:18" ht="4.5" customHeight="1" thickBot="1" x14ac:dyDescent="0.35">
      <c r="A105" s="21"/>
      <c r="B105" s="267"/>
      <c r="C105" s="267"/>
      <c r="D105" s="235"/>
      <c r="E105" s="235"/>
      <c r="F105" s="235"/>
      <c r="G105" s="235"/>
      <c r="H105" s="235"/>
      <c r="I105" s="235"/>
      <c r="J105" s="21"/>
      <c r="K105" s="21"/>
      <c r="L105" s="21"/>
      <c r="M105" s="21"/>
      <c r="N105" s="21"/>
      <c r="O105" s="21"/>
      <c r="P105" s="21"/>
      <c r="Q105" s="21"/>
      <c r="R105" s="21"/>
    </row>
    <row r="106" spans="1:18" ht="16.5" thickBot="1" x14ac:dyDescent="0.3">
      <c r="A106" s="21"/>
      <c r="B106" s="43"/>
      <c r="C106" s="399" t="s">
        <v>7</v>
      </c>
      <c r="D106" s="400"/>
      <c r="E106" s="398" t="s">
        <v>8</v>
      </c>
      <c r="F106" s="398"/>
      <c r="G106" s="398" t="s">
        <v>26</v>
      </c>
      <c r="H106" s="398"/>
      <c r="I106" s="398" t="s">
        <v>10</v>
      </c>
      <c r="J106" s="398"/>
      <c r="K106" s="398" t="s">
        <v>27</v>
      </c>
      <c r="L106" s="398"/>
      <c r="M106" s="21"/>
      <c r="N106" s="21"/>
      <c r="O106" s="21"/>
      <c r="P106" s="21"/>
      <c r="Q106" s="21"/>
      <c r="R106" s="21"/>
    </row>
    <row r="107" spans="1:18" x14ac:dyDescent="0.25">
      <c r="A107" s="21"/>
      <c r="B107" s="44"/>
      <c r="C107" s="45" t="s">
        <v>141</v>
      </c>
      <c r="D107" s="45" t="s">
        <v>142</v>
      </c>
      <c r="E107" s="45" t="s">
        <v>141</v>
      </c>
      <c r="F107" s="45" t="s">
        <v>142</v>
      </c>
      <c r="G107" s="45" t="s">
        <v>141</v>
      </c>
      <c r="H107" s="45" t="s">
        <v>142</v>
      </c>
      <c r="I107" s="45" t="s">
        <v>141</v>
      </c>
      <c r="J107" s="45" t="s">
        <v>142</v>
      </c>
      <c r="K107" s="45" t="s">
        <v>141</v>
      </c>
      <c r="L107" s="45" t="s">
        <v>142</v>
      </c>
      <c r="M107" s="21"/>
      <c r="N107" s="21"/>
      <c r="O107" s="21"/>
      <c r="P107" s="21"/>
      <c r="Q107" s="21"/>
      <c r="R107" s="21"/>
    </row>
    <row r="108" spans="1:18" x14ac:dyDescent="0.25">
      <c r="A108" s="21"/>
      <c r="B108" s="255" t="s">
        <v>6</v>
      </c>
      <c r="C108" s="306">
        <v>95.2</v>
      </c>
      <c r="D108" s="306">
        <v>4.8</v>
      </c>
      <c r="E108" s="306">
        <v>98.4</v>
      </c>
      <c r="F108" s="306">
        <v>1.6</v>
      </c>
      <c r="G108" s="306">
        <v>95.8</v>
      </c>
      <c r="H108" s="306">
        <v>4.2</v>
      </c>
      <c r="I108" s="306">
        <v>98.6</v>
      </c>
      <c r="J108" s="306">
        <v>1.4</v>
      </c>
      <c r="K108" s="306">
        <v>98.6</v>
      </c>
      <c r="L108" s="318">
        <v>1.4</v>
      </c>
      <c r="M108" s="21"/>
      <c r="N108" s="21"/>
      <c r="O108" s="21"/>
      <c r="P108" s="21"/>
      <c r="Q108" s="21"/>
      <c r="R108" s="21"/>
    </row>
    <row r="109" spans="1:18" x14ac:dyDescent="0.25">
      <c r="A109" s="21"/>
      <c r="B109" s="285" t="s">
        <v>138</v>
      </c>
      <c r="C109" s="306">
        <v>96.1</v>
      </c>
      <c r="D109" s="306">
        <v>3.9</v>
      </c>
      <c r="E109" s="306">
        <v>99.6</v>
      </c>
      <c r="F109" s="306">
        <v>0.4</v>
      </c>
      <c r="G109" s="306">
        <v>96.7</v>
      </c>
      <c r="H109" s="306">
        <v>3.3</v>
      </c>
      <c r="I109" s="306">
        <v>99.1</v>
      </c>
      <c r="J109" s="306">
        <v>0.9</v>
      </c>
      <c r="K109" s="306">
        <v>99.1</v>
      </c>
      <c r="L109" s="318">
        <v>0.9</v>
      </c>
      <c r="M109" s="21"/>
      <c r="N109" s="21"/>
      <c r="O109" s="21"/>
      <c r="P109" s="21"/>
      <c r="Q109" s="21"/>
      <c r="R109" s="21"/>
    </row>
    <row r="110" spans="1:18" ht="16.5" thickBot="1" x14ac:dyDescent="0.3">
      <c r="A110" s="21"/>
      <c r="B110" s="258" t="s">
        <v>139</v>
      </c>
      <c r="C110" s="307">
        <v>92.3</v>
      </c>
      <c r="D110" s="307">
        <v>7.7</v>
      </c>
      <c r="E110" s="307">
        <v>93.8</v>
      </c>
      <c r="F110" s="307">
        <v>6.2</v>
      </c>
      <c r="G110" s="307">
        <v>92.2</v>
      </c>
      <c r="H110" s="307">
        <v>7.8</v>
      </c>
      <c r="I110" s="307">
        <v>96.5</v>
      </c>
      <c r="J110" s="307">
        <v>3.5</v>
      </c>
      <c r="K110" s="307">
        <v>96.5</v>
      </c>
      <c r="L110" s="319">
        <v>3.5</v>
      </c>
      <c r="M110" s="21"/>
      <c r="N110" s="21"/>
      <c r="O110" s="21"/>
      <c r="P110" s="21"/>
      <c r="Q110" s="21"/>
      <c r="R110" s="21"/>
    </row>
    <row r="111" spans="1:18" ht="17.25" x14ac:dyDescent="0.3">
      <c r="A111" s="21"/>
      <c r="B111" s="267"/>
      <c r="C111" s="267"/>
      <c r="D111" s="235"/>
      <c r="E111" s="235"/>
      <c r="F111" s="235"/>
      <c r="G111" s="235"/>
      <c r="H111" s="235"/>
      <c r="I111" s="235"/>
      <c r="J111" s="21"/>
      <c r="K111" s="21"/>
      <c r="L111" s="21"/>
      <c r="M111" s="21"/>
      <c r="N111" s="21"/>
      <c r="O111" s="21"/>
      <c r="P111" s="21"/>
      <c r="Q111" s="21"/>
      <c r="R111" s="21"/>
    </row>
    <row r="112" spans="1:18" ht="17.25" customHeight="1" x14ac:dyDescent="0.3">
      <c r="A112" s="21"/>
      <c r="B112" s="23" t="s">
        <v>143</v>
      </c>
      <c r="C112" s="47"/>
      <c r="D112" s="42"/>
      <c r="E112" s="42"/>
      <c r="F112" s="42"/>
      <c r="G112" s="42"/>
      <c r="H112" s="42"/>
      <c r="I112" s="42"/>
      <c r="J112" s="15"/>
      <c r="K112" s="15"/>
      <c r="L112" s="15"/>
      <c r="M112" s="21"/>
      <c r="N112" s="21"/>
      <c r="O112" s="21"/>
      <c r="P112" s="21"/>
      <c r="Q112" s="21"/>
      <c r="R112" s="21"/>
    </row>
    <row r="113" spans="1:18" ht="5.25" customHeight="1" thickBot="1" x14ac:dyDescent="0.35">
      <c r="A113" s="21"/>
      <c r="B113" s="267"/>
      <c r="C113" s="267"/>
      <c r="D113" s="235"/>
      <c r="E113" s="235"/>
      <c r="F113" s="235"/>
      <c r="G113" s="235"/>
      <c r="H113" s="235"/>
      <c r="I113" s="235"/>
      <c r="J113" s="21"/>
      <c r="K113" s="21"/>
      <c r="L113" s="21"/>
      <c r="M113" s="21"/>
      <c r="N113" s="21"/>
      <c r="O113" s="21"/>
      <c r="P113" s="21"/>
      <c r="Q113" s="21"/>
      <c r="R113" s="21"/>
    </row>
    <row r="114" spans="1:18" ht="16.5" thickBot="1" x14ac:dyDescent="0.3">
      <c r="A114" s="21"/>
      <c r="B114" s="43"/>
      <c r="C114" s="399" t="s">
        <v>7</v>
      </c>
      <c r="D114" s="400"/>
      <c r="E114" s="398" t="s">
        <v>8</v>
      </c>
      <c r="F114" s="398"/>
      <c r="G114" s="398" t="s">
        <v>26</v>
      </c>
      <c r="H114" s="398"/>
      <c r="I114" s="398" t="s">
        <v>10</v>
      </c>
      <c r="J114" s="398"/>
      <c r="K114" s="398" t="s">
        <v>27</v>
      </c>
      <c r="L114" s="398"/>
      <c r="M114" s="21"/>
      <c r="N114" s="21"/>
      <c r="O114" s="21"/>
      <c r="P114" s="21"/>
      <c r="Q114" s="21"/>
      <c r="R114" s="21"/>
    </row>
    <row r="115" spans="1:18" x14ac:dyDescent="0.25">
      <c r="A115" s="21"/>
      <c r="B115" s="44"/>
      <c r="C115" s="45" t="s">
        <v>144</v>
      </c>
      <c r="D115" s="45" t="s">
        <v>145</v>
      </c>
      <c r="E115" s="45" t="s">
        <v>144</v>
      </c>
      <c r="F115" s="45" t="s">
        <v>145</v>
      </c>
      <c r="G115" s="45" t="s">
        <v>144</v>
      </c>
      <c r="H115" s="45" t="s">
        <v>145</v>
      </c>
      <c r="I115" s="45" t="s">
        <v>144</v>
      </c>
      <c r="J115" s="45" t="s">
        <v>145</v>
      </c>
      <c r="K115" s="45" t="s">
        <v>144</v>
      </c>
      <c r="L115" s="45" t="s">
        <v>145</v>
      </c>
      <c r="M115" s="21"/>
      <c r="N115" s="21"/>
      <c r="O115" s="21"/>
      <c r="P115" s="21"/>
      <c r="Q115" s="21"/>
      <c r="R115" s="21"/>
    </row>
    <row r="116" spans="1:18" x14ac:dyDescent="0.25">
      <c r="A116" s="21"/>
      <c r="B116" s="255" t="s">
        <v>6</v>
      </c>
      <c r="C116" s="306">
        <v>98</v>
      </c>
      <c r="D116" s="306">
        <v>2</v>
      </c>
      <c r="E116" s="306">
        <v>96.3</v>
      </c>
      <c r="F116" s="306">
        <v>3.7</v>
      </c>
      <c r="G116" s="306">
        <v>98.3</v>
      </c>
      <c r="H116" s="306">
        <v>1.7</v>
      </c>
      <c r="I116" s="306">
        <v>98</v>
      </c>
      <c r="J116" s="306">
        <v>2</v>
      </c>
      <c r="K116" s="306">
        <v>98.6</v>
      </c>
      <c r="L116" s="318">
        <v>1.4</v>
      </c>
      <c r="M116" s="21"/>
      <c r="N116" s="21"/>
      <c r="O116" s="21"/>
      <c r="P116" s="21"/>
      <c r="Q116" s="21"/>
      <c r="R116" s="21"/>
    </row>
    <row r="117" spans="1:18" x14ac:dyDescent="0.25">
      <c r="A117" s="21"/>
      <c r="B117" s="285" t="s">
        <v>138</v>
      </c>
      <c r="C117" s="306">
        <v>99.4</v>
      </c>
      <c r="D117" s="306">
        <v>0.6</v>
      </c>
      <c r="E117" s="306">
        <v>97.2</v>
      </c>
      <c r="F117" s="306">
        <v>2.8</v>
      </c>
      <c r="G117" s="306">
        <v>99.5</v>
      </c>
      <c r="H117" s="306">
        <v>0.5</v>
      </c>
      <c r="I117" s="306">
        <v>99.5</v>
      </c>
      <c r="J117" s="306">
        <v>0.5</v>
      </c>
      <c r="K117" s="306">
        <v>99.6</v>
      </c>
      <c r="L117" s="318">
        <v>0.4</v>
      </c>
      <c r="M117" s="21"/>
      <c r="N117" s="21"/>
      <c r="O117" s="21"/>
      <c r="P117" s="21"/>
      <c r="Q117" s="21"/>
      <c r="R117" s="21"/>
    </row>
    <row r="118" spans="1:18" ht="16.5" thickBot="1" x14ac:dyDescent="0.3">
      <c r="A118" s="21"/>
      <c r="B118" s="258" t="s">
        <v>139</v>
      </c>
      <c r="C118" s="307">
        <v>93.4</v>
      </c>
      <c r="D118" s="307">
        <v>6.6</v>
      </c>
      <c r="E118" s="307">
        <v>92.9</v>
      </c>
      <c r="F118" s="307">
        <v>7.1</v>
      </c>
      <c r="G118" s="307">
        <v>93.6</v>
      </c>
      <c r="H118" s="307">
        <v>6.4</v>
      </c>
      <c r="I118" s="307">
        <v>92.1</v>
      </c>
      <c r="J118" s="307">
        <v>7.9</v>
      </c>
      <c r="K118" s="307">
        <v>93.9</v>
      </c>
      <c r="L118" s="319">
        <v>6.1</v>
      </c>
      <c r="M118" s="21"/>
      <c r="N118" s="21"/>
      <c r="O118" s="21"/>
      <c r="P118" s="21"/>
      <c r="Q118" s="21"/>
      <c r="R118" s="21"/>
    </row>
    <row r="119" spans="1:18" ht="17.25" x14ac:dyDescent="0.3">
      <c r="A119" s="21"/>
      <c r="B119" s="267"/>
      <c r="C119" s="267"/>
      <c r="D119" s="235"/>
      <c r="E119" s="235"/>
      <c r="F119" s="235"/>
      <c r="G119" s="235"/>
      <c r="H119" s="235"/>
      <c r="I119" s="235"/>
      <c r="J119" s="21"/>
      <c r="K119" s="21"/>
      <c r="L119" s="21"/>
      <c r="M119" s="21"/>
      <c r="N119" s="21"/>
      <c r="O119" s="21"/>
      <c r="P119" s="21"/>
      <c r="Q119" s="21"/>
      <c r="R119" s="21"/>
    </row>
    <row r="120" spans="1:18" ht="17.25" x14ac:dyDescent="0.3">
      <c r="A120" s="21"/>
      <c r="B120" s="23" t="s">
        <v>146</v>
      </c>
      <c r="C120" s="23"/>
      <c r="D120" s="42"/>
      <c r="E120" s="42"/>
      <c r="F120" s="42"/>
      <c r="G120" s="42"/>
      <c r="H120" s="42"/>
      <c r="I120" s="42"/>
      <c r="J120" s="15"/>
      <c r="K120" s="15"/>
      <c r="L120" s="15"/>
      <c r="M120" s="21"/>
      <c r="N120" s="21"/>
      <c r="O120" s="21"/>
      <c r="P120" s="21"/>
      <c r="Q120" s="21"/>
      <c r="R120" s="21"/>
    </row>
    <row r="121" spans="1:18" ht="5.25" customHeight="1" thickBot="1" x14ac:dyDescent="0.35">
      <c r="A121" s="21"/>
      <c r="B121" s="247"/>
      <c r="C121" s="247"/>
      <c r="D121" s="235"/>
      <c r="E121" s="235"/>
      <c r="F121" s="235"/>
      <c r="G121" s="235"/>
      <c r="H121" s="235"/>
      <c r="I121" s="235"/>
      <c r="J121" s="21"/>
      <c r="K121" s="21"/>
      <c r="L121" s="21"/>
      <c r="M121" s="21"/>
      <c r="N121" s="21"/>
      <c r="O121" s="21"/>
      <c r="P121" s="21"/>
      <c r="Q121" s="21"/>
      <c r="R121" s="21"/>
    </row>
    <row r="122" spans="1:18" x14ac:dyDescent="0.25">
      <c r="A122" s="21"/>
      <c r="B122" s="26" t="s">
        <v>147</v>
      </c>
      <c r="C122" s="27"/>
      <c r="D122" s="27" t="s">
        <v>148</v>
      </c>
      <c r="E122" s="27" t="s">
        <v>149</v>
      </c>
      <c r="F122" s="27" t="s">
        <v>150</v>
      </c>
      <c r="G122" s="27" t="s">
        <v>151</v>
      </c>
      <c r="H122" s="27" t="s">
        <v>152</v>
      </c>
      <c r="I122" s="27" t="s">
        <v>153</v>
      </c>
      <c r="J122" s="21"/>
      <c r="K122" s="21"/>
      <c r="L122" s="21"/>
      <c r="M122" s="21"/>
      <c r="N122" s="21"/>
      <c r="O122" s="21"/>
      <c r="P122" s="21"/>
      <c r="Q122" s="21"/>
      <c r="R122" s="21"/>
    </row>
    <row r="123" spans="1:18" x14ac:dyDescent="0.25">
      <c r="A123" s="21"/>
      <c r="B123" s="255" t="s">
        <v>7</v>
      </c>
      <c r="C123" s="255" t="s">
        <v>6</v>
      </c>
      <c r="D123" s="370">
        <v>0.19466035822913147</v>
      </c>
      <c r="E123" s="370">
        <v>0.16686380533964176</v>
      </c>
      <c r="F123" s="370">
        <v>0.31328151402500842</v>
      </c>
      <c r="G123" s="370">
        <v>0.22634335924298749</v>
      </c>
      <c r="H123" s="370">
        <v>9.1078066914498143E-2</v>
      </c>
      <c r="I123" s="370">
        <v>7.7728962487326799E-3</v>
      </c>
      <c r="J123" s="21"/>
      <c r="K123" s="21"/>
      <c r="L123" s="21"/>
      <c r="M123" s="21"/>
      <c r="N123" s="21"/>
      <c r="O123" s="21"/>
      <c r="P123" s="21"/>
      <c r="Q123" s="21"/>
      <c r="R123" s="21"/>
    </row>
    <row r="124" spans="1:18" x14ac:dyDescent="0.25">
      <c r="A124" s="21"/>
      <c r="B124" s="255"/>
      <c r="C124" s="285" t="s">
        <v>154</v>
      </c>
      <c r="D124" s="302">
        <v>0.22213247172859452</v>
      </c>
      <c r="E124" s="302">
        <v>0.16451265481960151</v>
      </c>
      <c r="F124" s="302">
        <v>0.31206246634356488</v>
      </c>
      <c r="G124" s="302">
        <v>0.2113624124932687</v>
      </c>
      <c r="H124" s="302">
        <v>8.1044695745826609E-2</v>
      </c>
      <c r="I124" s="302">
        <v>8.8852988691437811E-3</v>
      </c>
      <c r="J124" s="21"/>
      <c r="K124" s="21"/>
      <c r="L124" s="21"/>
      <c r="M124" s="21"/>
      <c r="N124" s="21"/>
      <c r="O124" s="21"/>
      <c r="P124" s="21"/>
      <c r="Q124" s="21"/>
      <c r="R124" s="21"/>
    </row>
    <row r="125" spans="1:18" x14ac:dyDescent="0.25">
      <c r="A125" s="21"/>
      <c r="B125" s="255"/>
      <c r="C125" s="285" t="s">
        <v>46</v>
      </c>
      <c r="D125" s="302">
        <v>0.18861653510594101</v>
      </c>
      <c r="E125" s="302">
        <v>0.17739925218113833</v>
      </c>
      <c r="F125" s="302">
        <v>0.32156211051100958</v>
      </c>
      <c r="G125" s="302">
        <v>0.22642293311175737</v>
      </c>
      <c r="H125" s="302">
        <v>8.3298712089738269E-2</v>
      </c>
      <c r="I125" s="302">
        <v>2.7004570004154549E-3</v>
      </c>
      <c r="J125" s="21"/>
      <c r="K125" s="21"/>
      <c r="L125" s="21"/>
      <c r="M125" s="21"/>
      <c r="N125" s="21"/>
      <c r="O125" s="21"/>
      <c r="P125" s="21"/>
      <c r="Q125" s="21"/>
      <c r="R125" s="21"/>
    </row>
    <row r="126" spans="1:18" x14ac:dyDescent="0.25">
      <c r="A126" s="21"/>
      <c r="B126" s="255"/>
      <c r="C126" s="285" t="s">
        <v>47</v>
      </c>
      <c r="D126" s="302">
        <v>0.16582278481012658</v>
      </c>
      <c r="E126" s="302">
        <v>0.15316455696202533</v>
      </c>
      <c r="F126" s="302">
        <v>0.30316455696202532</v>
      </c>
      <c r="G126" s="302">
        <v>0.24367088607594936</v>
      </c>
      <c r="H126" s="302">
        <v>0.11772151898734177</v>
      </c>
      <c r="I126" s="302">
        <v>1.6455696202531647E-2</v>
      </c>
      <c r="J126" s="21"/>
      <c r="K126" s="21"/>
      <c r="L126" s="21"/>
      <c r="M126" s="21"/>
      <c r="N126" s="21"/>
      <c r="O126" s="21"/>
      <c r="P126" s="21"/>
      <c r="Q126" s="21"/>
      <c r="R126" s="21"/>
    </row>
    <row r="127" spans="1:18" x14ac:dyDescent="0.25">
      <c r="A127" s="21"/>
      <c r="B127" s="255"/>
      <c r="C127" s="285" t="s">
        <v>20</v>
      </c>
      <c r="D127" s="302">
        <v>0.20560747663551401</v>
      </c>
      <c r="E127" s="302">
        <v>0.17289719626168223</v>
      </c>
      <c r="F127" s="302">
        <v>0.27943925233644862</v>
      </c>
      <c r="G127" s="302">
        <v>0.22710280373831776</v>
      </c>
      <c r="H127" s="302">
        <v>0.10373831775700934</v>
      </c>
      <c r="I127" s="302">
        <v>1.1214953271028037E-2</v>
      </c>
      <c r="J127" s="21"/>
      <c r="K127" s="21"/>
      <c r="L127" s="21"/>
      <c r="M127" s="21"/>
      <c r="N127" s="21"/>
      <c r="O127" s="21"/>
      <c r="P127" s="21"/>
      <c r="Q127" s="21"/>
      <c r="R127" s="21"/>
    </row>
    <row r="128" spans="1:18" ht="16.5" thickBot="1" x14ac:dyDescent="0.3">
      <c r="A128" s="21"/>
      <c r="B128" s="310"/>
      <c r="C128" s="258" t="s">
        <v>48</v>
      </c>
      <c r="D128" s="317">
        <v>0.13525835866261399</v>
      </c>
      <c r="E128" s="317">
        <v>0.12613981762917933</v>
      </c>
      <c r="F128" s="317">
        <v>0.33890577507598785</v>
      </c>
      <c r="G128" s="317">
        <v>0.26747720364741639</v>
      </c>
      <c r="H128" s="317">
        <v>0.12006079027355623</v>
      </c>
      <c r="I128" s="317">
        <v>1.2158054711246201E-2</v>
      </c>
      <c r="J128" s="21"/>
      <c r="K128" s="21"/>
      <c r="L128" s="21"/>
      <c r="M128" s="21"/>
      <c r="N128" s="21"/>
      <c r="O128" s="21"/>
      <c r="P128" s="21"/>
      <c r="Q128" s="21"/>
      <c r="R128" s="21"/>
    </row>
    <row r="129" spans="1:18" x14ac:dyDescent="0.25">
      <c r="A129" s="21"/>
      <c r="B129" s="26" t="s">
        <v>147</v>
      </c>
      <c r="C129" s="27"/>
      <c r="D129" s="27" t="s">
        <v>148</v>
      </c>
      <c r="E129" s="27" t="s">
        <v>149</v>
      </c>
      <c r="F129" s="27" t="s">
        <v>150</v>
      </c>
      <c r="G129" s="27" t="s">
        <v>151</v>
      </c>
      <c r="H129" s="27" t="s">
        <v>152</v>
      </c>
      <c r="I129" s="27" t="s">
        <v>153</v>
      </c>
      <c r="J129" s="21"/>
      <c r="K129" s="21"/>
      <c r="L129" s="21"/>
      <c r="M129" s="21"/>
      <c r="N129" s="21"/>
      <c r="O129" s="21"/>
      <c r="P129" s="21"/>
      <c r="Q129" s="21"/>
      <c r="R129" s="21"/>
    </row>
    <row r="130" spans="1:18" x14ac:dyDescent="0.25">
      <c r="A130" s="21"/>
      <c r="B130" s="255" t="s">
        <v>8</v>
      </c>
      <c r="C130" s="255" t="s">
        <v>6</v>
      </c>
      <c r="D130" s="305">
        <v>19.600000000000001</v>
      </c>
      <c r="E130" s="305">
        <v>15.9</v>
      </c>
      <c r="F130" s="305">
        <v>31.1</v>
      </c>
      <c r="G130" s="305">
        <v>23</v>
      </c>
      <c r="H130" s="305">
        <v>9.6</v>
      </c>
      <c r="I130" s="305">
        <v>0.8</v>
      </c>
      <c r="J130" s="21"/>
      <c r="K130" s="21"/>
      <c r="L130" s="21"/>
      <c r="M130" s="21"/>
      <c r="N130" s="21"/>
      <c r="O130" s="21"/>
      <c r="P130" s="21"/>
      <c r="Q130" s="21"/>
      <c r="R130" s="21"/>
    </row>
    <row r="131" spans="1:18" x14ac:dyDescent="0.25">
      <c r="A131" s="21"/>
      <c r="B131" s="255"/>
      <c r="C131" s="285" t="s">
        <v>154</v>
      </c>
      <c r="D131" s="302">
        <v>0.2150158618258724</v>
      </c>
      <c r="E131" s="302">
        <v>0.14839619316179062</v>
      </c>
      <c r="F131" s="302">
        <v>0.30066972153683469</v>
      </c>
      <c r="G131" s="302">
        <v>0.22541416989777935</v>
      </c>
      <c r="H131" s="302">
        <v>0.10081071554458935</v>
      </c>
      <c r="I131" s="302">
        <v>9.6933380331335924E-3</v>
      </c>
      <c r="J131" s="21"/>
      <c r="K131" s="21"/>
      <c r="L131" s="21"/>
      <c r="M131" s="21"/>
      <c r="N131" s="21"/>
      <c r="O131" s="21"/>
      <c r="P131" s="21"/>
      <c r="Q131" s="21"/>
      <c r="R131" s="21"/>
    </row>
    <row r="132" spans="1:18" x14ac:dyDescent="0.25">
      <c r="A132" s="21"/>
      <c r="B132" s="255"/>
      <c r="C132" s="285" t="s">
        <v>46</v>
      </c>
      <c r="D132" s="302">
        <v>0.18557607739665788</v>
      </c>
      <c r="E132" s="302">
        <v>0.1693051890941073</v>
      </c>
      <c r="F132" s="302">
        <v>0.3386103781882146</v>
      </c>
      <c r="G132" s="302">
        <v>0.2247141600703606</v>
      </c>
      <c r="H132" s="302">
        <v>7.9595426561125768E-2</v>
      </c>
      <c r="I132" s="302">
        <v>2.1987686895338612E-3</v>
      </c>
      <c r="J132" s="21"/>
      <c r="K132" s="21"/>
      <c r="L132" s="21"/>
      <c r="M132" s="21"/>
      <c r="N132" s="21"/>
      <c r="O132" s="21"/>
      <c r="P132" s="21"/>
      <c r="Q132" s="21"/>
      <c r="R132" s="21"/>
    </row>
    <row r="133" spans="1:18" x14ac:dyDescent="0.25">
      <c r="A133" s="21"/>
      <c r="B133" s="255"/>
      <c r="C133" s="285" t="s">
        <v>47</v>
      </c>
      <c r="D133" s="302">
        <v>0.17450863609291245</v>
      </c>
      <c r="E133" s="302">
        <v>0.17748659916617035</v>
      </c>
      <c r="F133" s="302">
        <v>0.29720071471113757</v>
      </c>
      <c r="G133" s="302">
        <v>0.23228111971411555</v>
      </c>
      <c r="H133" s="302">
        <v>0.10303752233472305</v>
      </c>
      <c r="I133" s="302">
        <v>1.5485407980941036E-2</v>
      </c>
      <c r="J133" s="21"/>
      <c r="K133" s="21"/>
      <c r="L133" s="21"/>
      <c r="M133" s="21"/>
      <c r="N133" s="21"/>
      <c r="O133" s="21"/>
      <c r="P133" s="21"/>
      <c r="Q133" s="21"/>
      <c r="R133" s="21"/>
    </row>
    <row r="134" spans="1:18" x14ac:dyDescent="0.25">
      <c r="A134" s="21"/>
      <c r="B134" s="255"/>
      <c r="C134" s="285" t="s">
        <v>20</v>
      </c>
      <c r="D134" s="302">
        <v>0.20412844036697247</v>
      </c>
      <c r="E134" s="302">
        <v>0.15711009174311927</v>
      </c>
      <c r="F134" s="302">
        <v>0.29472477064220182</v>
      </c>
      <c r="G134" s="302">
        <v>0.23738532110091742</v>
      </c>
      <c r="H134" s="302">
        <v>9.6330275229357804E-2</v>
      </c>
      <c r="I134" s="302">
        <v>1.0321100917431193E-2</v>
      </c>
      <c r="J134" s="21"/>
      <c r="K134" s="21"/>
      <c r="L134" s="21"/>
      <c r="M134" s="21"/>
      <c r="N134" s="21"/>
      <c r="O134" s="21"/>
      <c r="P134" s="21"/>
      <c r="Q134" s="21"/>
      <c r="R134" s="21"/>
    </row>
    <row r="135" spans="1:18" ht="16.5" thickBot="1" x14ac:dyDescent="0.3">
      <c r="A135" s="21"/>
      <c r="B135" s="310"/>
      <c r="C135" s="258" t="s">
        <v>48</v>
      </c>
      <c r="D135" s="317">
        <v>0.16313725490196079</v>
      </c>
      <c r="E135" s="317">
        <v>0.14352941176470588</v>
      </c>
      <c r="F135" s="317">
        <v>0.30901960784313726</v>
      </c>
      <c r="G135" s="317">
        <v>0.25019607843137254</v>
      </c>
      <c r="H135" s="317">
        <v>0.12313725490196079</v>
      </c>
      <c r="I135" s="317">
        <v>1.0980392156862745E-2</v>
      </c>
      <c r="J135" s="21"/>
      <c r="K135" s="21"/>
      <c r="L135" s="21"/>
      <c r="M135" s="21"/>
      <c r="N135" s="21"/>
      <c r="O135" s="21"/>
      <c r="P135" s="21"/>
      <c r="Q135" s="21"/>
      <c r="R135" s="21"/>
    </row>
    <row r="136" spans="1:18" x14ac:dyDescent="0.25">
      <c r="A136" s="21"/>
      <c r="B136" s="26"/>
      <c r="C136" s="27"/>
      <c r="D136" s="27" t="s">
        <v>148</v>
      </c>
      <c r="E136" s="27" t="s">
        <v>149</v>
      </c>
      <c r="F136" s="27" t="s">
        <v>150</v>
      </c>
      <c r="G136" s="27" t="s">
        <v>151</v>
      </c>
      <c r="H136" s="27" t="s">
        <v>152</v>
      </c>
      <c r="I136" s="27" t="s">
        <v>153</v>
      </c>
      <c r="J136" s="21"/>
      <c r="K136" s="21"/>
      <c r="L136" s="21"/>
      <c r="M136" s="21"/>
      <c r="N136" s="21"/>
      <c r="O136" s="21"/>
      <c r="P136" s="21"/>
      <c r="Q136" s="21"/>
      <c r="R136" s="21"/>
    </row>
    <row r="137" spans="1:18" x14ac:dyDescent="0.25">
      <c r="A137" s="21"/>
      <c r="B137" s="255" t="s">
        <v>26</v>
      </c>
      <c r="C137" s="255" t="s">
        <v>6</v>
      </c>
      <c r="D137" s="305">
        <v>0.20699999999999999</v>
      </c>
      <c r="E137" s="305">
        <v>0.16800000000000001</v>
      </c>
      <c r="F137" s="305">
        <v>0.31</v>
      </c>
      <c r="G137" s="305">
        <v>0.21899999999999997</v>
      </c>
      <c r="H137" s="305">
        <v>8.8000000000000009E-2</v>
      </c>
      <c r="I137" s="305">
        <v>6.9999999999999993E-3</v>
      </c>
      <c r="J137" s="21"/>
      <c r="K137" s="21"/>
      <c r="L137" s="21"/>
      <c r="M137" s="21"/>
      <c r="N137" s="21"/>
      <c r="O137" s="21"/>
      <c r="P137" s="21"/>
      <c r="Q137" s="21"/>
      <c r="R137" s="21"/>
    </row>
    <row r="138" spans="1:18" x14ac:dyDescent="0.25">
      <c r="A138" s="21"/>
      <c r="B138" s="255"/>
      <c r="C138" s="285" t="s">
        <v>154</v>
      </c>
      <c r="D138" s="271">
        <v>0.23499999999999999</v>
      </c>
      <c r="E138" s="271">
        <v>0.16200000000000001</v>
      </c>
      <c r="F138" s="271">
        <v>0.29299999999999998</v>
      </c>
      <c r="G138" s="271">
        <v>0.21299999999999999</v>
      </c>
      <c r="H138" s="271">
        <v>8.8000000000000009E-2</v>
      </c>
      <c r="I138" s="271">
        <v>8.0000000000000002E-3</v>
      </c>
      <c r="J138" s="21"/>
      <c r="K138" s="316"/>
      <c r="L138" s="21"/>
      <c r="M138" s="21"/>
      <c r="N138" s="21"/>
      <c r="O138" s="21"/>
      <c r="P138" s="21"/>
      <c r="Q138" s="21"/>
      <c r="R138" s="21"/>
    </row>
    <row r="139" spans="1:18" x14ac:dyDescent="0.25">
      <c r="A139" s="21"/>
      <c r="B139" s="255"/>
      <c r="C139" s="285" t="s">
        <v>46</v>
      </c>
      <c r="D139" s="271">
        <v>0.193</v>
      </c>
      <c r="E139" s="271">
        <v>0.16899999999999998</v>
      </c>
      <c r="F139" s="271">
        <v>0.34499999999999997</v>
      </c>
      <c r="G139" s="271">
        <v>0.215</v>
      </c>
      <c r="H139" s="271">
        <v>7.5999999999999998E-2</v>
      </c>
      <c r="I139" s="271">
        <v>2E-3</v>
      </c>
      <c r="J139" s="21"/>
      <c r="K139" s="21"/>
      <c r="L139" s="21"/>
      <c r="M139" s="21"/>
      <c r="N139" s="21"/>
      <c r="O139" s="21"/>
      <c r="P139" s="21"/>
      <c r="Q139" s="21"/>
      <c r="R139" s="21"/>
    </row>
    <row r="140" spans="1:18" x14ac:dyDescent="0.25">
      <c r="A140" s="21"/>
      <c r="B140" s="255"/>
      <c r="C140" s="285" t="s">
        <v>47</v>
      </c>
      <c r="D140" s="271">
        <v>0.19500000000000001</v>
      </c>
      <c r="E140" s="271">
        <v>0.17499999999999999</v>
      </c>
      <c r="F140" s="271">
        <v>0.27100000000000002</v>
      </c>
      <c r="G140" s="271">
        <v>0.24</v>
      </c>
      <c r="H140" s="271">
        <v>0.10199999999999999</v>
      </c>
      <c r="I140" s="271">
        <v>1.7000000000000001E-2</v>
      </c>
      <c r="J140" s="21"/>
      <c r="K140" s="21"/>
      <c r="L140" s="21"/>
      <c r="M140" s="21"/>
      <c r="N140" s="21"/>
      <c r="O140" s="21"/>
      <c r="P140" s="21"/>
      <c r="Q140" s="21"/>
      <c r="R140" s="21"/>
    </row>
    <row r="141" spans="1:18" x14ac:dyDescent="0.25">
      <c r="A141" s="21"/>
      <c r="B141" s="255"/>
      <c r="C141" s="285" t="s">
        <v>20</v>
      </c>
      <c r="D141" s="271">
        <v>0.193</v>
      </c>
      <c r="E141" s="271">
        <v>0.17</v>
      </c>
      <c r="F141" s="271">
        <v>0.29699999999999999</v>
      </c>
      <c r="G141" s="271">
        <v>0.22800000000000001</v>
      </c>
      <c r="H141" s="271">
        <v>0.10099999999999999</v>
      </c>
      <c r="I141" s="271">
        <v>1.1000000000000001E-2</v>
      </c>
      <c r="J141" s="21"/>
      <c r="K141" s="21"/>
      <c r="L141" s="21"/>
      <c r="M141" s="21"/>
      <c r="N141" s="21"/>
      <c r="O141" s="21"/>
      <c r="P141" s="21"/>
      <c r="Q141" s="21"/>
      <c r="R141" s="21"/>
    </row>
    <row r="142" spans="1:18" x14ac:dyDescent="0.25">
      <c r="A142" s="21"/>
      <c r="B142" s="255"/>
      <c r="C142" s="285" t="s">
        <v>49</v>
      </c>
      <c r="D142" s="271">
        <v>0.187</v>
      </c>
      <c r="E142" s="271">
        <v>0.21</v>
      </c>
      <c r="F142" s="271">
        <v>0.307</v>
      </c>
      <c r="G142" s="271">
        <v>0.20100000000000001</v>
      </c>
      <c r="H142" s="271">
        <v>0.09</v>
      </c>
      <c r="I142" s="271">
        <v>5.0000000000000001E-3</v>
      </c>
      <c r="J142" s="21"/>
      <c r="K142" s="21"/>
      <c r="L142" s="21"/>
      <c r="M142" s="21"/>
      <c r="N142" s="21"/>
      <c r="O142" s="21"/>
      <c r="P142" s="21"/>
      <c r="Q142" s="21"/>
      <c r="R142" s="21"/>
    </row>
    <row r="143" spans="1:18" ht="16.5" thickBot="1" x14ac:dyDescent="0.3">
      <c r="A143" s="21"/>
      <c r="B143" s="255"/>
      <c r="C143" s="285" t="s">
        <v>48</v>
      </c>
      <c r="D143" s="271">
        <v>0.115</v>
      </c>
      <c r="E143" s="271">
        <v>0.14300000000000002</v>
      </c>
      <c r="F143" s="271">
        <v>0.35799999999999998</v>
      </c>
      <c r="G143" s="271">
        <v>0.26899999999999996</v>
      </c>
      <c r="H143" s="271">
        <v>0.10099999999999999</v>
      </c>
      <c r="I143" s="271">
        <v>1.3000000000000001E-2</v>
      </c>
      <c r="J143" s="21"/>
      <c r="K143" s="21"/>
      <c r="L143" s="21"/>
      <c r="M143" s="21"/>
      <c r="N143" s="21"/>
      <c r="O143" s="21"/>
      <c r="P143" s="21"/>
      <c r="Q143" s="21"/>
      <c r="R143" s="21"/>
    </row>
    <row r="144" spans="1:18" x14ac:dyDescent="0.25">
      <c r="A144" s="21"/>
      <c r="B144" s="26"/>
      <c r="C144" s="27"/>
      <c r="D144" s="27" t="s">
        <v>155</v>
      </c>
      <c r="E144" s="27" t="s">
        <v>156</v>
      </c>
      <c r="F144" s="27" t="s">
        <v>150</v>
      </c>
      <c r="G144" s="27" t="s">
        <v>151</v>
      </c>
      <c r="H144" s="27" t="s">
        <v>152</v>
      </c>
      <c r="I144" s="27" t="s">
        <v>153</v>
      </c>
      <c r="J144" s="21"/>
      <c r="K144" s="21"/>
      <c r="L144" s="21"/>
      <c r="M144" s="21"/>
      <c r="N144" s="21"/>
      <c r="O144" s="21"/>
      <c r="P144" s="21"/>
      <c r="Q144" s="21"/>
      <c r="R144" s="21"/>
    </row>
    <row r="145" spans="1:18" x14ac:dyDescent="0.25">
      <c r="A145" s="21"/>
      <c r="B145" s="255" t="s">
        <v>10</v>
      </c>
      <c r="C145" s="308" t="s">
        <v>6</v>
      </c>
      <c r="D145" s="309">
        <v>7.5999999999999998E-2</v>
      </c>
      <c r="E145" s="309">
        <v>0.29499999999999998</v>
      </c>
      <c r="F145" s="309">
        <v>0.317</v>
      </c>
      <c r="G145" s="309">
        <v>0.218</v>
      </c>
      <c r="H145" s="309">
        <v>8.5999999999999993E-2</v>
      </c>
      <c r="I145" s="309">
        <v>6.9999999999999993E-3</v>
      </c>
      <c r="J145" s="21"/>
      <c r="K145" s="21"/>
      <c r="L145" s="21"/>
      <c r="M145" s="21"/>
      <c r="N145" s="21"/>
      <c r="O145" s="21"/>
      <c r="P145" s="21"/>
      <c r="Q145" s="21"/>
      <c r="R145" s="21"/>
    </row>
    <row r="146" spans="1:18" x14ac:dyDescent="0.25">
      <c r="A146" s="21"/>
      <c r="B146" s="255"/>
      <c r="C146" s="308" t="s">
        <v>45</v>
      </c>
      <c r="D146" s="309">
        <v>0.10300000000000001</v>
      </c>
      <c r="E146" s="309">
        <v>0.29899999999999999</v>
      </c>
      <c r="F146" s="309">
        <v>0.30299999999999999</v>
      </c>
      <c r="G146" s="309">
        <v>0.20399999999999999</v>
      </c>
      <c r="H146" s="309">
        <v>8.4000000000000005E-2</v>
      </c>
      <c r="I146" s="309">
        <v>8.0000000000000002E-3</v>
      </c>
      <c r="J146" s="21"/>
      <c r="K146" s="21"/>
      <c r="L146" s="21"/>
      <c r="M146" s="21"/>
      <c r="N146" s="21"/>
      <c r="O146" s="21"/>
      <c r="P146" s="21"/>
      <c r="Q146" s="21"/>
      <c r="R146" s="21"/>
    </row>
    <row r="147" spans="1:18" x14ac:dyDescent="0.25">
      <c r="A147" s="21"/>
      <c r="B147" s="255"/>
      <c r="C147" s="308" t="s">
        <v>46</v>
      </c>
      <c r="D147" s="309">
        <v>3.7000000000000005E-2</v>
      </c>
      <c r="E147" s="309">
        <v>0.29100000000000004</v>
      </c>
      <c r="F147" s="309">
        <v>0.36599999999999999</v>
      </c>
      <c r="G147" s="309">
        <v>0.23199999999999998</v>
      </c>
      <c r="H147" s="309">
        <v>7.2000000000000008E-2</v>
      </c>
      <c r="I147" s="309">
        <v>1E-3</v>
      </c>
      <c r="J147" s="21"/>
      <c r="K147" s="21"/>
      <c r="L147" s="21"/>
      <c r="M147" s="21"/>
      <c r="N147" s="21"/>
      <c r="O147" s="21"/>
      <c r="P147" s="21"/>
      <c r="Q147" s="21"/>
      <c r="R147" s="21"/>
    </row>
    <row r="148" spans="1:18" x14ac:dyDescent="0.25">
      <c r="A148" s="21"/>
      <c r="B148" s="255"/>
      <c r="C148" s="308" t="s">
        <v>47</v>
      </c>
      <c r="D148" s="309">
        <v>5.7999999999999996E-2</v>
      </c>
      <c r="E148" s="309">
        <v>0.27500000000000002</v>
      </c>
      <c r="F148" s="309">
        <v>0.29199999999999998</v>
      </c>
      <c r="G148" s="309">
        <v>0.248</v>
      </c>
      <c r="H148" s="309">
        <v>0.111</v>
      </c>
      <c r="I148" s="309">
        <v>1.4999999999999999E-2</v>
      </c>
      <c r="J148" s="21"/>
      <c r="K148" s="21"/>
      <c r="L148" s="21"/>
      <c r="M148" s="21"/>
      <c r="N148" s="21"/>
      <c r="O148" s="21"/>
      <c r="P148" s="21"/>
      <c r="Q148" s="21"/>
      <c r="R148" s="21"/>
    </row>
    <row r="149" spans="1:18" x14ac:dyDescent="0.25">
      <c r="A149" s="21"/>
      <c r="B149" s="255"/>
      <c r="C149" s="308" t="s">
        <v>20</v>
      </c>
      <c r="D149" s="309">
        <v>0.11199999999999999</v>
      </c>
      <c r="E149" s="309">
        <v>0.30599999999999999</v>
      </c>
      <c r="F149" s="309">
        <v>0.29399999999999998</v>
      </c>
      <c r="G149" s="309">
        <v>0.19</v>
      </c>
      <c r="H149" s="309">
        <v>8.5999999999999993E-2</v>
      </c>
      <c r="I149" s="309">
        <v>1.2E-2</v>
      </c>
      <c r="J149" s="21"/>
      <c r="K149" s="21"/>
      <c r="L149" s="21"/>
      <c r="M149" s="21"/>
      <c r="N149" s="21"/>
      <c r="O149" s="21"/>
      <c r="P149" s="21"/>
      <c r="Q149" s="21"/>
      <c r="R149" s="21"/>
    </row>
    <row r="150" spans="1:18" x14ac:dyDescent="0.25">
      <c r="A150" s="21"/>
      <c r="B150" s="255"/>
      <c r="C150" s="308" t="s">
        <v>49</v>
      </c>
      <c r="D150" s="309">
        <v>7.2999999999999995E-2</v>
      </c>
      <c r="E150" s="309">
        <v>0.33600000000000002</v>
      </c>
      <c r="F150" s="309">
        <v>0.28000000000000003</v>
      </c>
      <c r="G150" s="309">
        <v>0.21299999999999999</v>
      </c>
      <c r="H150" s="309">
        <v>9.3000000000000013E-2</v>
      </c>
      <c r="I150" s="309">
        <v>6.9999999999999993E-3</v>
      </c>
      <c r="J150" s="21"/>
      <c r="K150" s="21"/>
      <c r="L150" s="21"/>
      <c r="M150" s="21"/>
      <c r="N150" s="21"/>
      <c r="O150" s="21"/>
      <c r="P150" s="21"/>
      <c r="Q150" s="21"/>
      <c r="R150" s="21"/>
    </row>
    <row r="151" spans="1:18" ht="16.5" thickBot="1" x14ac:dyDescent="0.3">
      <c r="A151" s="21"/>
      <c r="B151" s="310"/>
      <c r="C151" s="311" t="s">
        <v>48</v>
      </c>
      <c r="D151" s="312">
        <v>2.7000000000000003E-2</v>
      </c>
      <c r="E151" s="312">
        <v>0.21199999999999999</v>
      </c>
      <c r="F151" s="312">
        <v>0.374</v>
      </c>
      <c r="G151" s="312">
        <v>0.26100000000000001</v>
      </c>
      <c r="H151" s="312">
        <v>0.113</v>
      </c>
      <c r="I151" s="312">
        <v>1.3000000000000001E-2</v>
      </c>
      <c r="J151" s="21"/>
      <c r="K151" s="21"/>
      <c r="L151" s="21"/>
      <c r="M151" s="21"/>
      <c r="N151" s="21"/>
      <c r="O151" s="21"/>
      <c r="P151" s="21"/>
      <c r="Q151" s="21"/>
      <c r="R151" s="21"/>
    </row>
    <row r="152" spans="1:18" ht="17.25" x14ac:dyDescent="0.3">
      <c r="A152" s="21"/>
      <c r="B152" s="313" t="s">
        <v>27</v>
      </c>
      <c r="C152" s="313" t="s">
        <v>6</v>
      </c>
      <c r="D152" s="314">
        <v>8.1999999999999993</v>
      </c>
      <c r="E152" s="314">
        <v>30.2</v>
      </c>
      <c r="F152" s="314">
        <v>31.5</v>
      </c>
      <c r="G152" s="314">
        <v>21.1</v>
      </c>
      <c r="H152" s="314">
        <v>8.3000000000000007</v>
      </c>
      <c r="I152" s="235"/>
      <c r="J152" s="21"/>
      <c r="K152" s="21"/>
      <c r="L152" s="21"/>
      <c r="M152" s="21"/>
      <c r="N152" s="21"/>
      <c r="O152" s="21"/>
      <c r="P152" s="21"/>
      <c r="Q152" s="21"/>
      <c r="R152" s="21"/>
    </row>
    <row r="153" spans="1:18" ht="17.25" x14ac:dyDescent="0.3">
      <c r="A153" s="21"/>
      <c r="B153" s="285"/>
      <c r="C153" s="285" t="s">
        <v>45</v>
      </c>
      <c r="D153" s="306">
        <v>10.7</v>
      </c>
      <c r="E153" s="306">
        <v>30.8</v>
      </c>
      <c r="F153" s="306">
        <v>29.9</v>
      </c>
      <c r="G153" s="306">
        <v>19.899999999999999</v>
      </c>
      <c r="H153" s="306">
        <v>8</v>
      </c>
      <c r="I153" s="235"/>
      <c r="J153" s="21"/>
      <c r="K153" s="21"/>
      <c r="L153" s="21"/>
      <c r="M153" s="21"/>
      <c r="N153" s="21"/>
      <c r="O153" s="21"/>
      <c r="P153" s="21"/>
      <c r="Q153" s="21"/>
      <c r="R153" s="21"/>
    </row>
    <row r="154" spans="1:18" ht="17.25" x14ac:dyDescent="0.3">
      <c r="A154" s="21"/>
      <c r="B154" s="285"/>
      <c r="C154" s="285" t="s">
        <v>46</v>
      </c>
      <c r="D154" s="306">
        <v>4.4000000000000004</v>
      </c>
      <c r="E154" s="306">
        <v>27.9</v>
      </c>
      <c r="F154" s="306">
        <v>37.9</v>
      </c>
      <c r="G154" s="306">
        <v>22.6</v>
      </c>
      <c r="H154" s="306">
        <v>7.1</v>
      </c>
      <c r="I154" s="235"/>
      <c r="J154" s="21"/>
      <c r="K154" s="21"/>
      <c r="L154" s="21"/>
      <c r="M154" s="21"/>
      <c r="N154" s="21"/>
      <c r="O154" s="21"/>
      <c r="P154" s="21"/>
      <c r="Q154" s="21"/>
      <c r="R154" s="21"/>
    </row>
    <row r="155" spans="1:18" ht="17.25" x14ac:dyDescent="0.3">
      <c r="A155" s="21"/>
      <c r="B155" s="285"/>
      <c r="C155" s="285" t="s">
        <v>47</v>
      </c>
      <c r="D155" s="306">
        <v>6.1</v>
      </c>
      <c r="E155" s="306">
        <v>32.299999999999997</v>
      </c>
      <c r="F155" s="306">
        <v>29.9</v>
      </c>
      <c r="G155" s="306">
        <v>21</v>
      </c>
      <c r="H155" s="306">
        <v>9.5</v>
      </c>
      <c r="I155" s="235"/>
      <c r="J155" s="21"/>
      <c r="K155" s="21"/>
      <c r="L155" s="21"/>
      <c r="M155" s="21"/>
      <c r="N155" s="21"/>
      <c r="O155" s="21"/>
      <c r="P155" s="21"/>
      <c r="Q155" s="21"/>
      <c r="R155" s="21"/>
    </row>
    <row r="156" spans="1:18" ht="17.25" x14ac:dyDescent="0.3">
      <c r="A156" s="21"/>
      <c r="B156" s="285"/>
      <c r="C156" s="285" t="s">
        <v>20</v>
      </c>
      <c r="D156" s="306">
        <v>8.1999999999999993</v>
      </c>
      <c r="E156" s="306">
        <v>30.9</v>
      </c>
      <c r="F156" s="306">
        <v>30.5</v>
      </c>
      <c r="G156" s="306">
        <v>20.7</v>
      </c>
      <c r="H156" s="306">
        <v>8.4</v>
      </c>
      <c r="I156" s="235"/>
      <c r="J156" s="21"/>
      <c r="K156" s="21"/>
      <c r="L156" s="21"/>
      <c r="M156" s="21"/>
      <c r="N156" s="21"/>
      <c r="O156" s="21"/>
      <c r="P156" s="21"/>
      <c r="Q156" s="21"/>
      <c r="R156" s="21"/>
    </row>
    <row r="157" spans="1:18" ht="17.25" x14ac:dyDescent="0.3">
      <c r="A157" s="21"/>
      <c r="B157" s="285"/>
      <c r="C157" s="285" t="s">
        <v>49</v>
      </c>
      <c r="D157" s="306">
        <v>6.5</v>
      </c>
      <c r="E157" s="306">
        <v>30.1</v>
      </c>
      <c r="F157" s="306">
        <v>27.9</v>
      </c>
      <c r="G157" s="306">
        <v>23.7</v>
      </c>
      <c r="H157" s="306">
        <v>10.8</v>
      </c>
      <c r="I157" s="235"/>
      <c r="J157" s="21"/>
      <c r="K157" s="21"/>
      <c r="L157" s="21"/>
      <c r="M157" s="21"/>
      <c r="N157" s="21"/>
      <c r="O157" s="21"/>
      <c r="P157" s="21"/>
      <c r="Q157" s="21"/>
      <c r="R157" s="21"/>
    </row>
    <row r="158" spans="1:18" ht="18" thickBot="1" x14ac:dyDescent="0.35">
      <c r="A158" s="21"/>
      <c r="B158" s="285"/>
      <c r="C158" s="285" t="s">
        <v>53</v>
      </c>
      <c r="D158" s="315">
        <v>2.1</v>
      </c>
      <c r="E158" s="315">
        <v>20.3</v>
      </c>
      <c r="F158" s="315">
        <v>30.8</v>
      </c>
      <c r="G158" s="315">
        <v>29.4</v>
      </c>
      <c r="H158" s="315">
        <v>14.7</v>
      </c>
      <c r="I158" s="235"/>
      <c r="J158" s="21"/>
      <c r="K158" s="21"/>
      <c r="L158" s="21"/>
      <c r="M158" s="21"/>
      <c r="N158" s="21"/>
      <c r="O158" s="21"/>
      <c r="P158" s="21"/>
      <c r="Q158" s="21"/>
      <c r="R158" s="21"/>
    </row>
    <row r="159" spans="1:18" ht="17.25" x14ac:dyDescent="0.3">
      <c r="A159" s="21"/>
      <c r="B159" s="313" t="s">
        <v>28</v>
      </c>
      <c r="C159" s="313" t="s">
        <v>6</v>
      </c>
      <c r="D159" s="314">
        <v>9.8000000000000007</v>
      </c>
      <c r="E159" s="314">
        <v>30.9</v>
      </c>
      <c r="F159" s="314">
        <v>31</v>
      </c>
      <c r="G159" s="314">
        <v>20</v>
      </c>
      <c r="H159" s="314">
        <v>7.8</v>
      </c>
      <c r="I159" s="235"/>
      <c r="J159" s="21"/>
      <c r="K159" s="21"/>
      <c r="L159" s="21"/>
      <c r="M159" s="21"/>
      <c r="N159" s="21"/>
      <c r="O159" s="21"/>
      <c r="P159" s="21"/>
      <c r="Q159" s="21"/>
      <c r="R159" s="21"/>
    </row>
    <row r="160" spans="1:18" ht="17.25" x14ac:dyDescent="0.3">
      <c r="A160" s="21"/>
      <c r="B160" s="285"/>
      <c r="C160" s="285" t="s">
        <v>45</v>
      </c>
      <c r="D160" s="306">
        <v>12</v>
      </c>
      <c r="E160" s="306">
        <v>30.5</v>
      </c>
      <c r="F160" s="306">
        <v>29.1</v>
      </c>
      <c r="G160" s="306">
        <v>20.100000000000001</v>
      </c>
      <c r="H160" s="306">
        <v>7.8</v>
      </c>
      <c r="I160" s="235"/>
      <c r="J160" s="21"/>
      <c r="K160" s="21"/>
      <c r="L160" s="21"/>
      <c r="M160" s="21"/>
      <c r="N160" s="21"/>
      <c r="O160" s="21"/>
      <c r="P160" s="21"/>
      <c r="Q160" s="21"/>
      <c r="R160" s="21"/>
    </row>
    <row r="161" spans="1:18" ht="17.25" x14ac:dyDescent="0.3">
      <c r="A161" s="21"/>
      <c r="B161" s="285"/>
      <c r="C161" s="285" t="s">
        <v>46</v>
      </c>
      <c r="D161" s="306">
        <v>3</v>
      </c>
      <c r="E161" s="306">
        <v>29.1</v>
      </c>
      <c r="F161" s="306">
        <v>40.200000000000003</v>
      </c>
      <c r="G161" s="306">
        <v>21</v>
      </c>
      <c r="H161" s="306">
        <v>6.6</v>
      </c>
      <c r="I161" s="235"/>
      <c r="J161" s="21"/>
      <c r="K161" s="21"/>
      <c r="L161" s="21"/>
      <c r="M161" s="21"/>
      <c r="N161" s="21"/>
      <c r="O161" s="21"/>
      <c r="P161" s="21"/>
      <c r="Q161" s="21"/>
      <c r="R161" s="21"/>
    </row>
    <row r="162" spans="1:18" ht="17.25" x14ac:dyDescent="0.3">
      <c r="A162" s="21"/>
      <c r="B162" s="285"/>
      <c r="C162" s="285" t="s">
        <v>47</v>
      </c>
      <c r="D162" s="306">
        <v>7.9</v>
      </c>
      <c r="E162" s="306">
        <v>34</v>
      </c>
      <c r="F162" s="306">
        <v>28.8</v>
      </c>
      <c r="G162" s="306">
        <v>19.3</v>
      </c>
      <c r="H162" s="306">
        <v>9.1</v>
      </c>
      <c r="I162" s="235"/>
      <c r="J162" s="21"/>
      <c r="K162" s="21"/>
      <c r="L162" s="21"/>
      <c r="M162" s="21"/>
      <c r="N162" s="21"/>
      <c r="O162" s="21"/>
      <c r="P162" s="21"/>
      <c r="Q162" s="21"/>
      <c r="R162" s="21"/>
    </row>
    <row r="163" spans="1:18" ht="17.25" x14ac:dyDescent="0.3">
      <c r="A163" s="21"/>
      <c r="B163" s="285"/>
      <c r="C163" s="285" t="s">
        <v>20</v>
      </c>
      <c r="D163" s="306">
        <v>10</v>
      </c>
      <c r="E163" s="306">
        <v>30.4</v>
      </c>
      <c r="F163" s="306">
        <v>31.6</v>
      </c>
      <c r="G163" s="306">
        <v>20</v>
      </c>
      <c r="H163" s="306">
        <v>7.1</v>
      </c>
      <c r="I163" s="235"/>
      <c r="J163" s="21"/>
      <c r="K163" s="21"/>
      <c r="L163" s="21"/>
      <c r="M163" s="21"/>
      <c r="N163" s="21"/>
      <c r="O163" s="21"/>
      <c r="P163" s="21"/>
      <c r="Q163" s="21"/>
      <c r="R163" s="21"/>
    </row>
    <row r="164" spans="1:18" ht="17.25" x14ac:dyDescent="0.3">
      <c r="A164" s="21"/>
      <c r="B164" s="285"/>
      <c r="C164" s="285" t="s">
        <v>49</v>
      </c>
      <c r="D164" s="306">
        <v>5.7</v>
      </c>
      <c r="E164" s="306">
        <v>31.3</v>
      </c>
      <c r="F164" s="306">
        <v>30.1</v>
      </c>
      <c r="G164" s="306">
        <v>22.6</v>
      </c>
      <c r="H164" s="306">
        <v>10</v>
      </c>
      <c r="I164" s="235"/>
      <c r="J164" s="21"/>
      <c r="K164" s="21"/>
      <c r="L164" s="21"/>
      <c r="M164" s="21"/>
      <c r="N164" s="21"/>
      <c r="O164" s="21"/>
      <c r="P164" s="21"/>
      <c r="Q164" s="21"/>
      <c r="R164" s="21"/>
    </row>
    <row r="165" spans="1:18" ht="17.25" x14ac:dyDescent="0.3">
      <c r="A165" s="21"/>
      <c r="B165" s="285"/>
      <c r="C165" s="285" t="s">
        <v>93</v>
      </c>
      <c r="D165" s="306">
        <v>12.8</v>
      </c>
      <c r="E165" s="306">
        <v>32.299999999999997</v>
      </c>
      <c r="F165" s="306">
        <v>28.5</v>
      </c>
      <c r="G165" s="306">
        <v>18.2</v>
      </c>
      <c r="H165" s="306">
        <v>7.5</v>
      </c>
      <c r="I165" s="235"/>
      <c r="J165" s="21"/>
      <c r="K165" s="21"/>
      <c r="L165" s="21"/>
      <c r="M165" s="21"/>
      <c r="N165" s="21"/>
      <c r="O165" s="21"/>
      <c r="P165" s="21"/>
      <c r="Q165" s="21"/>
      <c r="R165" s="21"/>
    </row>
    <row r="166" spans="1:18" ht="18" thickBot="1" x14ac:dyDescent="0.35">
      <c r="A166" s="21"/>
      <c r="B166" s="258"/>
      <c r="C166" s="258" t="s">
        <v>53</v>
      </c>
      <c r="D166" s="307">
        <v>2.6</v>
      </c>
      <c r="E166" s="307">
        <v>19.5</v>
      </c>
      <c r="F166" s="307">
        <v>35.1</v>
      </c>
      <c r="G166" s="307">
        <v>30.5</v>
      </c>
      <c r="H166" s="307">
        <v>11.9</v>
      </c>
      <c r="I166" s="235"/>
      <c r="J166" s="21"/>
      <c r="K166" s="21"/>
      <c r="L166" s="21"/>
      <c r="M166" s="21"/>
      <c r="N166" s="21"/>
      <c r="O166" s="21"/>
      <c r="P166" s="21"/>
      <c r="Q166" s="21"/>
      <c r="R166" s="21"/>
    </row>
    <row r="167" spans="1:18" ht="17.25" x14ac:dyDescent="0.3">
      <c r="A167" s="21"/>
      <c r="B167" s="247"/>
      <c r="C167" s="247"/>
      <c r="D167" s="235"/>
      <c r="E167" s="235"/>
      <c r="F167" s="235"/>
      <c r="G167" s="235"/>
      <c r="H167" s="235"/>
      <c r="I167" s="235"/>
      <c r="J167" s="21"/>
      <c r="K167" s="21"/>
      <c r="L167" s="21"/>
      <c r="M167" s="21"/>
      <c r="N167" s="21"/>
      <c r="O167" s="21"/>
      <c r="P167" s="21"/>
      <c r="Q167" s="21"/>
      <c r="R167" s="21"/>
    </row>
    <row r="168" spans="1:18" ht="17.25" x14ac:dyDescent="0.3">
      <c r="A168" s="21"/>
      <c r="B168" s="23" t="s">
        <v>157</v>
      </c>
      <c r="C168" s="23"/>
      <c r="D168" s="42"/>
      <c r="E168" s="42"/>
      <c r="F168" s="42"/>
      <c r="G168" s="42"/>
      <c r="H168" s="42"/>
      <c r="I168" s="42"/>
      <c r="J168" s="15"/>
      <c r="K168" s="15"/>
      <c r="L168" s="15"/>
      <c r="M168" s="21"/>
      <c r="N168" s="21"/>
      <c r="O168" s="21"/>
      <c r="P168" s="21"/>
      <c r="Q168" s="21"/>
      <c r="R168" s="21"/>
    </row>
    <row r="169" spans="1:18" ht="3.75" customHeight="1" thickBot="1" x14ac:dyDescent="0.35">
      <c r="A169" s="21"/>
      <c r="B169" s="247"/>
      <c r="C169" s="247"/>
      <c r="D169" s="235"/>
      <c r="E169" s="235"/>
      <c r="F169" s="235"/>
      <c r="G169" s="235"/>
      <c r="H169" s="235"/>
      <c r="I169" s="235"/>
      <c r="J169" s="21"/>
      <c r="K169" s="21"/>
      <c r="L169" s="21"/>
      <c r="M169" s="21"/>
      <c r="N169" s="21"/>
      <c r="O169" s="21"/>
      <c r="P169" s="21"/>
      <c r="Q169" s="21"/>
      <c r="R169" s="21"/>
    </row>
    <row r="170" spans="1:18" ht="17.25" x14ac:dyDescent="0.3">
      <c r="A170" s="21"/>
      <c r="B170" s="43"/>
      <c r="C170" s="27" t="s">
        <v>7</v>
      </c>
      <c r="D170" s="27" t="s">
        <v>8</v>
      </c>
      <c r="E170" s="27" t="s">
        <v>26</v>
      </c>
      <c r="F170" s="27" t="s">
        <v>10</v>
      </c>
      <c r="G170" s="27" t="s">
        <v>27</v>
      </c>
      <c r="H170" s="27" t="s">
        <v>28</v>
      </c>
      <c r="I170" s="235"/>
      <c r="J170" s="21"/>
      <c r="K170" s="21"/>
      <c r="L170" s="21"/>
      <c r="M170" s="21"/>
      <c r="N170" s="21"/>
      <c r="O170" s="21"/>
      <c r="P170" s="21"/>
      <c r="Q170" s="21"/>
      <c r="R170" s="21"/>
    </row>
    <row r="171" spans="1:18" ht="28.5" x14ac:dyDescent="0.3">
      <c r="A171" s="21"/>
      <c r="B171" s="255" t="s">
        <v>6</v>
      </c>
      <c r="C171" s="371" t="s">
        <v>158</v>
      </c>
      <c r="D171" s="305" t="s">
        <v>159</v>
      </c>
      <c r="E171" s="305" t="s">
        <v>160</v>
      </c>
      <c r="F171" s="305" t="s">
        <v>161</v>
      </c>
      <c r="G171" s="305" t="s">
        <v>162</v>
      </c>
      <c r="H171" s="305" t="s">
        <v>163</v>
      </c>
      <c r="I171" s="235"/>
      <c r="J171" s="21"/>
      <c r="K171" s="21"/>
      <c r="L171" s="21"/>
      <c r="M171" s="21"/>
      <c r="N171" s="21"/>
      <c r="O171" s="21"/>
      <c r="P171" s="21"/>
      <c r="Q171" s="21"/>
      <c r="R171" s="21"/>
    </row>
    <row r="172" spans="1:18" ht="17.25" x14ac:dyDescent="0.3">
      <c r="A172" s="21"/>
      <c r="B172" s="285" t="s">
        <v>164</v>
      </c>
      <c r="C172" s="365" t="s">
        <v>165</v>
      </c>
      <c r="D172" s="306" t="s">
        <v>166</v>
      </c>
      <c r="E172" s="306" t="s">
        <v>167</v>
      </c>
      <c r="F172" s="306" t="s">
        <v>168</v>
      </c>
      <c r="G172" s="306" t="s">
        <v>162</v>
      </c>
      <c r="H172" s="306" t="s">
        <v>169</v>
      </c>
      <c r="I172" s="235"/>
      <c r="J172" s="21"/>
      <c r="K172" s="21"/>
      <c r="L172" s="21"/>
      <c r="M172" s="21"/>
      <c r="N172" s="21"/>
      <c r="O172" s="21"/>
      <c r="P172" s="21"/>
      <c r="Q172" s="21"/>
      <c r="R172" s="21"/>
    </row>
    <row r="173" spans="1:18" ht="18" thickBot="1" x14ac:dyDescent="0.35">
      <c r="A173" s="21"/>
      <c r="B173" s="258" t="s">
        <v>170</v>
      </c>
      <c r="C173" s="366" t="s">
        <v>171</v>
      </c>
      <c r="D173" s="307" t="s">
        <v>172</v>
      </c>
      <c r="E173" s="307" t="s">
        <v>173</v>
      </c>
      <c r="F173" s="307" t="s">
        <v>174</v>
      </c>
      <c r="G173" s="307" t="s">
        <v>175</v>
      </c>
      <c r="H173" s="307" t="s">
        <v>176</v>
      </c>
      <c r="I173" s="235"/>
      <c r="J173" s="21"/>
      <c r="K173" s="21"/>
      <c r="L173" s="21"/>
      <c r="M173" s="21"/>
      <c r="N173" s="21"/>
      <c r="O173" s="21"/>
      <c r="P173" s="21"/>
      <c r="Q173" s="21"/>
      <c r="R173" s="21"/>
    </row>
    <row r="174" spans="1:18" ht="17.25" x14ac:dyDescent="0.3">
      <c r="A174" s="21"/>
      <c r="B174" s="247"/>
      <c r="C174" s="247"/>
      <c r="D174" s="235"/>
      <c r="E174" s="235"/>
      <c r="F174" s="235"/>
      <c r="G174" s="235"/>
      <c r="H174" s="235"/>
      <c r="I174" s="235"/>
      <c r="J174" s="21"/>
      <c r="K174" s="21"/>
      <c r="L174" s="21"/>
      <c r="M174" s="21"/>
      <c r="N174" s="21"/>
      <c r="O174" s="21"/>
      <c r="P174" s="21"/>
      <c r="Q174" s="21"/>
      <c r="R174" s="21"/>
    </row>
    <row r="175" spans="1:18" ht="17.25" x14ac:dyDescent="0.3">
      <c r="A175" s="348"/>
      <c r="B175" s="23" t="s">
        <v>177</v>
      </c>
      <c r="C175" s="23"/>
      <c r="D175" s="42"/>
      <c r="E175" s="42"/>
      <c r="F175" s="42"/>
      <c r="G175" s="42"/>
      <c r="H175" s="42"/>
      <c r="I175" s="42"/>
      <c r="J175" s="15"/>
      <c r="K175" s="15"/>
      <c r="L175" s="15"/>
      <c r="M175" s="21"/>
      <c r="N175" s="21"/>
      <c r="O175" s="21"/>
      <c r="P175" s="21"/>
      <c r="Q175" s="21"/>
      <c r="R175" s="21"/>
    </row>
    <row r="176" spans="1:18" ht="3.75" customHeight="1" thickBot="1" x14ac:dyDescent="0.35">
      <c r="A176" s="348"/>
      <c r="B176" s="247"/>
      <c r="C176" s="247"/>
      <c r="D176" s="235"/>
      <c r="E176" s="235"/>
      <c r="F176" s="235"/>
      <c r="G176" s="235"/>
      <c r="H176" s="235"/>
      <c r="I176" s="235"/>
      <c r="J176" s="21"/>
      <c r="K176" s="21"/>
      <c r="L176" s="21"/>
      <c r="M176" s="21"/>
      <c r="N176" s="21"/>
      <c r="O176" s="21"/>
      <c r="P176" s="21"/>
      <c r="Q176" s="21"/>
      <c r="R176" s="21"/>
    </row>
    <row r="177" spans="1:18" ht="17.25" x14ac:dyDescent="0.3">
      <c r="A177" s="348"/>
      <c r="B177" s="43"/>
      <c r="C177" s="27" t="s">
        <v>7</v>
      </c>
      <c r="D177" s="27" t="s">
        <v>8</v>
      </c>
      <c r="E177" s="27" t="s">
        <v>26</v>
      </c>
      <c r="F177" s="27" t="s">
        <v>178</v>
      </c>
      <c r="G177" s="27" t="s">
        <v>27</v>
      </c>
      <c r="H177" s="27" t="s">
        <v>28</v>
      </c>
      <c r="I177" s="235"/>
      <c r="J177" s="21"/>
      <c r="K177" s="21"/>
      <c r="L177" s="21"/>
      <c r="M177" s="21"/>
      <c r="N177" s="21"/>
      <c r="O177" s="21"/>
      <c r="P177" s="21"/>
      <c r="Q177" s="21"/>
      <c r="R177" s="21"/>
    </row>
    <row r="178" spans="1:18" ht="17.25" x14ac:dyDescent="0.3">
      <c r="A178" s="348"/>
      <c r="B178" s="255" t="s">
        <v>6</v>
      </c>
      <c r="C178" s="372">
        <f>82/11922*100</f>
        <v>0.68780405972152325</v>
      </c>
      <c r="D178" s="299">
        <f>81/13797*100</f>
        <v>0.58708414872798431</v>
      </c>
      <c r="E178" s="299">
        <f>(102/14996)*100</f>
        <v>0.6801813817017871</v>
      </c>
      <c r="F178" s="299">
        <v>1.3</v>
      </c>
      <c r="G178" s="299">
        <v>1.8</v>
      </c>
      <c r="H178" s="299">
        <v>2.31</v>
      </c>
      <c r="I178" s="235"/>
      <c r="J178" s="21"/>
      <c r="K178" s="21"/>
      <c r="L178" s="21"/>
      <c r="M178" s="21"/>
      <c r="N178" s="21"/>
      <c r="O178" s="21"/>
      <c r="P178" s="21"/>
      <c r="Q178" s="21"/>
      <c r="R178" s="21"/>
    </row>
    <row r="179" spans="1:18" ht="17.25" x14ac:dyDescent="0.3">
      <c r="A179" s="348"/>
      <c r="B179" s="285" t="s">
        <v>138</v>
      </c>
      <c r="C179" s="372">
        <f>17/9183*100</f>
        <v>0.18512468692148534</v>
      </c>
      <c r="D179" s="304">
        <f>64/11000*100</f>
        <v>0.58181818181818179</v>
      </c>
      <c r="E179" s="304">
        <f>(17/12021)*100</f>
        <v>0.14141918309624824</v>
      </c>
      <c r="F179" s="304">
        <v>0.4</v>
      </c>
      <c r="G179" s="304">
        <v>1</v>
      </c>
      <c r="H179" s="304">
        <v>1.21</v>
      </c>
      <c r="I179" s="235"/>
      <c r="J179" s="21"/>
      <c r="K179" s="21"/>
      <c r="L179" s="21"/>
      <c r="M179" s="21"/>
      <c r="N179" s="21"/>
      <c r="O179" s="21"/>
      <c r="P179" s="21"/>
      <c r="Q179" s="21"/>
      <c r="R179" s="21"/>
    </row>
    <row r="180" spans="1:18" ht="18" thickBot="1" x14ac:dyDescent="0.35">
      <c r="A180" s="348"/>
      <c r="B180" s="258" t="s">
        <v>139</v>
      </c>
      <c r="C180" s="373">
        <f>65/2739*100</f>
        <v>2.3731288791529757</v>
      </c>
      <c r="D180" s="300">
        <f>17/2797*100</f>
        <v>0.60779406506971756</v>
      </c>
      <c r="E180" s="300">
        <f>(85/2966)*100</f>
        <v>2.8658125421443024</v>
      </c>
      <c r="F180" s="300">
        <v>5.6</v>
      </c>
      <c r="G180" s="300">
        <v>5.5</v>
      </c>
      <c r="H180" s="300">
        <v>5.93</v>
      </c>
      <c r="I180" s="235"/>
      <c r="J180" s="21"/>
      <c r="K180" s="21"/>
      <c r="L180" s="21"/>
      <c r="M180" s="21"/>
      <c r="N180" s="21"/>
      <c r="O180" s="21"/>
      <c r="P180" s="21"/>
      <c r="Q180" s="21"/>
      <c r="R180" s="21"/>
    </row>
    <row r="181" spans="1:18" ht="17.25" x14ac:dyDescent="0.3">
      <c r="A181" s="348"/>
      <c r="B181" s="247"/>
      <c r="C181" s="349"/>
      <c r="D181" s="235"/>
      <c r="E181" s="235"/>
      <c r="F181" s="235"/>
      <c r="G181" s="235"/>
      <c r="H181" s="235"/>
      <c r="I181" s="235"/>
      <c r="J181" s="21"/>
      <c r="K181" s="21"/>
      <c r="L181" s="21"/>
      <c r="M181" s="21"/>
      <c r="N181" s="21"/>
      <c r="O181" s="21"/>
      <c r="P181" s="21"/>
      <c r="Q181" s="21"/>
      <c r="R181" s="21"/>
    </row>
    <row r="182" spans="1:18" ht="17.25" x14ac:dyDescent="0.3">
      <c r="A182" s="348"/>
      <c r="B182" s="23" t="s">
        <v>179</v>
      </c>
      <c r="C182" s="350"/>
      <c r="D182" s="42"/>
      <c r="E182" s="42"/>
      <c r="F182" s="42"/>
      <c r="G182" s="42"/>
      <c r="H182" s="42"/>
      <c r="I182" s="42"/>
      <c r="J182" s="15"/>
      <c r="K182" s="15"/>
      <c r="L182" s="15"/>
      <c r="M182" s="21"/>
      <c r="N182" s="21"/>
      <c r="O182" s="21"/>
      <c r="P182" s="21"/>
      <c r="Q182" s="21"/>
      <c r="R182" s="21"/>
    </row>
    <row r="183" spans="1:18" ht="3.75" customHeight="1" thickBot="1" x14ac:dyDescent="0.35">
      <c r="A183" s="348"/>
      <c r="B183" s="247"/>
      <c r="C183" s="349"/>
      <c r="D183" s="235"/>
      <c r="E183" s="235"/>
      <c r="F183" s="235"/>
      <c r="G183" s="235"/>
      <c r="H183" s="235"/>
      <c r="I183" s="235"/>
      <c r="J183" s="21"/>
      <c r="K183" s="21"/>
      <c r="L183" s="21"/>
      <c r="M183" s="21"/>
      <c r="N183" s="21"/>
      <c r="O183" s="21"/>
      <c r="P183" s="21"/>
      <c r="Q183" s="21"/>
      <c r="R183" s="21"/>
    </row>
    <row r="184" spans="1:18" ht="17.25" x14ac:dyDescent="0.3">
      <c r="A184" s="348"/>
      <c r="B184" s="43"/>
      <c r="C184" s="351" t="s">
        <v>7</v>
      </c>
      <c r="D184" s="27" t="s">
        <v>8</v>
      </c>
      <c r="E184" s="27" t="s">
        <v>26</v>
      </c>
      <c r="F184" s="27" t="s">
        <v>10</v>
      </c>
      <c r="G184" s="235"/>
      <c r="H184" s="235"/>
      <c r="I184" s="235"/>
      <c r="J184" s="21"/>
      <c r="K184" s="21"/>
      <c r="L184" s="21"/>
      <c r="M184" s="21"/>
      <c r="N184" s="21"/>
      <c r="O184" s="21"/>
      <c r="P184" s="21"/>
      <c r="Q184" s="21"/>
      <c r="R184" s="21"/>
    </row>
    <row r="185" spans="1:18" ht="17.25" x14ac:dyDescent="0.3">
      <c r="A185" s="348"/>
      <c r="B185" s="255" t="s">
        <v>6</v>
      </c>
      <c r="C185" s="374">
        <f>58/82*100</f>
        <v>70.731707317073173</v>
      </c>
      <c r="D185" s="301">
        <v>0.25900000000000001</v>
      </c>
      <c r="E185" s="301">
        <f>46/102</f>
        <v>0.45098039215686275</v>
      </c>
      <c r="F185" s="301">
        <v>0.745</v>
      </c>
      <c r="G185" s="235"/>
      <c r="H185" s="235"/>
      <c r="I185" s="235"/>
      <c r="J185" s="21"/>
      <c r="K185" s="21"/>
      <c r="L185" s="21"/>
      <c r="M185" s="21"/>
      <c r="N185" s="21"/>
      <c r="O185" s="21"/>
      <c r="P185" s="21"/>
      <c r="Q185" s="21"/>
      <c r="R185" s="21"/>
    </row>
    <row r="186" spans="1:18" ht="17.25" x14ac:dyDescent="0.3">
      <c r="A186" s="348"/>
      <c r="B186" s="285" t="s">
        <v>138</v>
      </c>
      <c r="C186" s="374">
        <f>8/17*100</f>
        <v>47.058823529411761</v>
      </c>
      <c r="D186" s="302">
        <v>4.7E-2</v>
      </c>
      <c r="E186" s="302">
        <f>34/17</f>
        <v>2</v>
      </c>
      <c r="F186" s="302">
        <v>1</v>
      </c>
      <c r="G186" s="235"/>
      <c r="H186" s="235"/>
      <c r="I186" s="235"/>
      <c r="J186" s="21"/>
      <c r="K186" s="21"/>
      <c r="L186" s="21"/>
      <c r="M186" s="21"/>
      <c r="N186" s="21"/>
      <c r="O186" s="21"/>
      <c r="P186" s="21"/>
      <c r="Q186" s="21"/>
      <c r="R186" s="21"/>
    </row>
    <row r="187" spans="1:18" ht="18" thickBot="1" x14ac:dyDescent="0.35">
      <c r="A187" s="348"/>
      <c r="B187" s="258" t="s">
        <v>139</v>
      </c>
      <c r="C187" s="375">
        <f>50/65*100</f>
        <v>76.923076923076934</v>
      </c>
      <c r="D187" s="303">
        <v>1</v>
      </c>
      <c r="E187" s="303">
        <f>12/85</f>
        <v>0.14117647058823529</v>
      </c>
      <c r="F187" s="303">
        <v>0.65</v>
      </c>
      <c r="G187" s="235"/>
      <c r="H187" s="235"/>
      <c r="I187" s="235"/>
      <c r="J187" s="21"/>
      <c r="K187" s="21"/>
      <c r="L187" s="21"/>
      <c r="M187" s="21"/>
      <c r="N187" s="21"/>
      <c r="O187" s="21"/>
      <c r="P187" s="21"/>
      <c r="Q187" s="21"/>
      <c r="R187" s="21"/>
    </row>
    <row r="188" spans="1:18" ht="17.25" x14ac:dyDescent="0.3">
      <c r="A188" s="348"/>
      <c r="B188" s="247"/>
      <c r="C188" s="349"/>
      <c r="D188" s="235"/>
      <c r="E188" s="235"/>
      <c r="F188" s="235"/>
      <c r="G188" s="235"/>
      <c r="H188" s="235"/>
      <c r="I188" s="235"/>
      <c r="J188" s="21"/>
      <c r="K188" s="21"/>
      <c r="L188" s="21"/>
      <c r="M188" s="21"/>
      <c r="N188" s="21"/>
      <c r="O188" s="21"/>
      <c r="P188" s="21"/>
      <c r="Q188" s="21"/>
      <c r="R188" s="21"/>
    </row>
    <row r="189" spans="1:18" ht="17.25" x14ac:dyDescent="0.3">
      <c r="A189" s="348"/>
      <c r="B189" s="247"/>
      <c r="C189" s="349"/>
      <c r="D189" s="235"/>
      <c r="E189" s="235"/>
      <c r="F189" s="235"/>
      <c r="G189" s="235"/>
      <c r="H189" s="235"/>
      <c r="I189" s="235"/>
      <c r="J189" s="21"/>
      <c r="K189" s="21"/>
      <c r="L189" s="21"/>
      <c r="M189" s="21"/>
      <c r="N189" s="21"/>
      <c r="O189" s="21"/>
      <c r="P189" s="21"/>
      <c r="Q189" s="21"/>
      <c r="R189" s="21"/>
    </row>
    <row r="190" spans="1:18" ht="17.25" x14ac:dyDescent="0.3">
      <c r="A190" s="347"/>
      <c r="B190" s="23" t="s">
        <v>180</v>
      </c>
      <c r="C190" s="350"/>
      <c r="D190" s="42"/>
      <c r="E190" s="42"/>
      <c r="F190" s="42"/>
      <c r="G190" s="42"/>
      <c r="H190" s="42"/>
      <c r="I190" s="42"/>
      <c r="J190" s="15"/>
      <c r="K190" s="15"/>
      <c r="L190" s="15"/>
      <c r="M190" s="21"/>
      <c r="N190" s="21"/>
      <c r="O190" s="21"/>
      <c r="P190" s="21"/>
      <c r="Q190" s="21"/>
      <c r="R190" s="21"/>
    </row>
    <row r="191" spans="1:18" ht="3.75" customHeight="1" thickBot="1" x14ac:dyDescent="0.35">
      <c r="A191" s="21"/>
      <c r="B191" s="247"/>
      <c r="C191" s="349"/>
      <c r="D191" s="235"/>
      <c r="E191" s="235"/>
      <c r="F191" s="235"/>
      <c r="G191" s="235"/>
      <c r="H191" s="235"/>
      <c r="I191" s="235"/>
      <c r="J191" s="21"/>
      <c r="K191" s="21"/>
      <c r="L191" s="21"/>
      <c r="M191" s="21"/>
      <c r="N191" s="21"/>
      <c r="O191" s="21"/>
      <c r="P191" s="21"/>
      <c r="Q191" s="21"/>
      <c r="R191" s="21"/>
    </row>
    <row r="192" spans="1:18" ht="17.25" x14ac:dyDescent="0.3">
      <c r="A192" s="21"/>
      <c r="B192" s="43"/>
      <c r="C192" s="351" t="s">
        <v>7</v>
      </c>
      <c r="D192" s="27" t="s">
        <v>8</v>
      </c>
      <c r="E192" s="27" t="s">
        <v>26</v>
      </c>
      <c r="F192" s="27" t="s">
        <v>10</v>
      </c>
      <c r="G192" s="27" t="s">
        <v>27</v>
      </c>
      <c r="H192" s="27" t="s">
        <v>28</v>
      </c>
      <c r="I192" s="235"/>
      <c r="J192" s="21"/>
      <c r="K192" s="21"/>
      <c r="L192" s="21"/>
      <c r="M192" s="21"/>
      <c r="N192" s="21"/>
      <c r="O192" s="21"/>
      <c r="P192" s="21"/>
      <c r="Q192" s="21"/>
      <c r="R192" s="21"/>
    </row>
    <row r="193" spans="1:18" ht="17.25" x14ac:dyDescent="0.3">
      <c r="A193" s="21"/>
      <c r="B193" s="255" t="s">
        <v>6</v>
      </c>
      <c r="C193" s="374">
        <f>58/11922*100</f>
        <v>0.48649555443717496</v>
      </c>
      <c r="D193" s="299">
        <f>21/13797*100</f>
        <v>0.15220700152207001</v>
      </c>
      <c r="E193" s="299">
        <f>(46/14496)*100</f>
        <v>0.31732891832229582</v>
      </c>
      <c r="F193" s="299">
        <v>0.8</v>
      </c>
      <c r="G193" s="299">
        <v>1.5</v>
      </c>
      <c r="H193" s="299">
        <v>1.88</v>
      </c>
      <c r="I193" s="235"/>
      <c r="J193" s="21"/>
      <c r="K193" s="21"/>
      <c r="L193" s="21"/>
      <c r="M193" s="21"/>
      <c r="N193" s="21"/>
      <c r="O193" s="21"/>
      <c r="P193" s="21"/>
      <c r="Q193" s="21"/>
      <c r="R193" s="21"/>
    </row>
    <row r="194" spans="1:18" ht="17.25" x14ac:dyDescent="0.3">
      <c r="A194" s="21"/>
      <c r="B194" s="257" t="s">
        <v>138</v>
      </c>
      <c r="C194" s="374">
        <f>8/9183*100</f>
        <v>8.7117499727757813E-2</v>
      </c>
      <c r="D194" s="257">
        <f>3/11000*100</f>
        <v>2.7272727272727275E-2</v>
      </c>
      <c r="E194" s="257">
        <f>(34/12021)*100</f>
        <v>0.28283836619249647</v>
      </c>
      <c r="F194" s="257">
        <v>0.4</v>
      </c>
      <c r="G194" s="257">
        <v>1</v>
      </c>
      <c r="H194" s="257">
        <v>1.21</v>
      </c>
      <c r="I194" s="235"/>
      <c r="J194" s="21"/>
      <c r="K194" s="21"/>
      <c r="L194" s="21"/>
      <c r="M194" s="21"/>
      <c r="N194" s="21"/>
      <c r="O194" s="21"/>
      <c r="P194" s="21"/>
      <c r="Q194" s="21"/>
      <c r="R194" s="21"/>
    </row>
    <row r="195" spans="1:18" ht="18" thickBot="1" x14ac:dyDescent="0.35">
      <c r="A195" s="21"/>
      <c r="B195" s="258" t="s">
        <v>139</v>
      </c>
      <c r="C195" s="375">
        <f>50/2739*100</f>
        <v>1.8254837531945967</v>
      </c>
      <c r="D195" s="300">
        <f>0.00643546657132642*100</f>
        <v>0.64354665713264203</v>
      </c>
      <c r="E195" s="300">
        <f>(12/2966)*100</f>
        <v>0.40458530006743088</v>
      </c>
      <c r="F195" s="300">
        <v>1.9</v>
      </c>
      <c r="G195" s="300">
        <v>3.6</v>
      </c>
      <c r="H195" s="300">
        <v>4.07</v>
      </c>
      <c r="I195" s="235"/>
      <c r="J195" s="21"/>
      <c r="K195" s="21"/>
      <c r="L195" s="21"/>
      <c r="M195" s="21"/>
      <c r="N195" s="21"/>
      <c r="O195" s="21"/>
      <c r="P195" s="21"/>
      <c r="Q195" s="21"/>
      <c r="R195" s="21"/>
    </row>
    <row r="196" spans="1:18" ht="17.25" x14ac:dyDescent="0.3">
      <c r="A196" s="21"/>
      <c r="B196" s="247"/>
      <c r="C196" s="247"/>
      <c r="D196" s="235"/>
      <c r="E196" s="235"/>
      <c r="F196" s="235"/>
      <c r="G196" s="235"/>
      <c r="H196" s="235"/>
      <c r="I196" s="235"/>
      <c r="J196" s="21"/>
      <c r="K196" s="21"/>
      <c r="L196" s="21"/>
      <c r="M196" s="21"/>
      <c r="N196" s="21"/>
      <c r="O196" s="21"/>
      <c r="P196" s="21"/>
      <c r="Q196" s="21"/>
      <c r="R196" s="21"/>
    </row>
    <row r="197" spans="1:18" ht="17.25" x14ac:dyDescent="0.3">
      <c r="A197" s="21"/>
      <c r="B197" s="23" t="s">
        <v>181</v>
      </c>
      <c r="C197" s="23"/>
      <c r="D197" s="42"/>
      <c r="E197" s="42"/>
      <c r="F197" s="42"/>
      <c r="G197" s="42"/>
      <c r="H197" s="42"/>
      <c r="I197" s="42"/>
      <c r="J197" s="15"/>
      <c r="K197" s="15"/>
      <c r="L197" s="15"/>
      <c r="M197" s="21"/>
      <c r="N197" s="21"/>
      <c r="O197" s="21"/>
      <c r="P197" s="21"/>
      <c r="Q197" s="21"/>
      <c r="R197" s="21"/>
    </row>
    <row r="198" spans="1:18" ht="3.75" customHeight="1" thickBot="1" x14ac:dyDescent="0.35">
      <c r="A198" s="21"/>
      <c r="B198" s="247"/>
      <c r="C198" s="247"/>
      <c r="D198" s="235"/>
      <c r="E198" s="235"/>
      <c r="F198" s="235"/>
      <c r="G198" s="235"/>
      <c r="H198" s="235"/>
      <c r="I198" s="235"/>
      <c r="J198" s="21"/>
      <c r="K198" s="21"/>
      <c r="L198" s="21"/>
      <c r="M198" s="21"/>
      <c r="N198" s="21"/>
      <c r="O198" s="21"/>
      <c r="P198" s="21"/>
      <c r="Q198" s="21"/>
      <c r="R198" s="21"/>
    </row>
    <row r="199" spans="1:18" x14ac:dyDescent="0.25">
      <c r="A199" s="21"/>
      <c r="B199" s="43"/>
      <c r="C199" s="27" t="s">
        <v>7</v>
      </c>
      <c r="D199" s="27" t="s">
        <v>8</v>
      </c>
      <c r="E199" s="43"/>
      <c r="F199" s="27" t="s">
        <v>26</v>
      </c>
      <c r="G199" s="27" t="s">
        <v>10</v>
      </c>
      <c r="H199" s="43"/>
      <c r="I199" s="27" t="s">
        <v>27</v>
      </c>
      <c r="J199" s="27" t="s">
        <v>28</v>
      </c>
      <c r="K199" s="21"/>
      <c r="L199" s="21"/>
      <c r="M199" s="21"/>
      <c r="N199" s="21"/>
      <c r="O199" s="21"/>
      <c r="P199" s="21"/>
      <c r="Q199" s="21"/>
      <c r="R199" s="21"/>
    </row>
    <row r="200" spans="1:18" x14ac:dyDescent="0.25">
      <c r="A200" s="21"/>
      <c r="B200" s="255" t="s">
        <v>6</v>
      </c>
      <c r="C200" s="376">
        <v>17.5</v>
      </c>
      <c r="D200" s="294">
        <v>32.299999999999997</v>
      </c>
      <c r="E200" s="255" t="s">
        <v>6</v>
      </c>
      <c r="F200" s="295">
        <v>31.6</v>
      </c>
      <c r="G200" s="294">
        <v>29.3</v>
      </c>
      <c r="H200" s="255" t="s">
        <v>6</v>
      </c>
      <c r="I200" s="295">
        <v>26.2</v>
      </c>
      <c r="J200" s="295">
        <v>20.8</v>
      </c>
      <c r="K200" s="21"/>
      <c r="L200" s="21"/>
      <c r="M200" s="21"/>
      <c r="N200" s="21"/>
      <c r="O200" s="21"/>
      <c r="P200" s="21"/>
      <c r="Q200" s="21"/>
      <c r="R200" s="21"/>
    </row>
    <row r="201" spans="1:18" x14ac:dyDescent="0.25">
      <c r="A201" s="21"/>
      <c r="B201" s="285" t="s">
        <v>45</v>
      </c>
      <c r="C201" s="377">
        <v>29.4</v>
      </c>
      <c r="D201" s="296">
        <v>63.5</v>
      </c>
      <c r="E201" s="285" t="s">
        <v>45</v>
      </c>
      <c r="F201" s="265">
        <v>64.5</v>
      </c>
      <c r="G201" s="296">
        <v>52.8</v>
      </c>
      <c r="H201" s="285" t="s">
        <v>45</v>
      </c>
      <c r="I201" s="297">
        <v>45.5</v>
      </c>
      <c r="J201" s="297">
        <v>43.1</v>
      </c>
      <c r="K201" s="21"/>
      <c r="L201" s="21"/>
      <c r="M201" s="21"/>
      <c r="N201" s="21"/>
      <c r="O201" s="21"/>
      <c r="P201" s="21"/>
      <c r="Q201" s="21"/>
      <c r="R201" s="21"/>
    </row>
    <row r="202" spans="1:18" ht="18" customHeight="1" x14ac:dyDescent="0.25">
      <c r="A202" s="21"/>
      <c r="B202" s="285" t="s">
        <v>46</v>
      </c>
      <c r="C202" s="377">
        <v>8.6</v>
      </c>
      <c r="D202" s="296">
        <v>7.2</v>
      </c>
      <c r="E202" s="285" t="s">
        <v>46</v>
      </c>
      <c r="F202" s="265">
        <v>6.9</v>
      </c>
      <c r="G202" s="296">
        <v>7.2</v>
      </c>
      <c r="H202" s="285" t="s">
        <v>46</v>
      </c>
      <c r="I202" s="297">
        <v>5.3</v>
      </c>
      <c r="J202" s="297">
        <v>4.9000000000000004</v>
      </c>
      <c r="K202" s="21"/>
      <c r="L202" s="21"/>
      <c r="M202" s="21"/>
      <c r="N202" s="21"/>
      <c r="O202" s="21"/>
      <c r="P202" s="21"/>
      <c r="Q202" s="21"/>
      <c r="R202" s="21"/>
    </row>
    <row r="203" spans="1:18" ht="28.9" customHeight="1" x14ac:dyDescent="0.25">
      <c r="A203" s="21"/>
      <c r="B203" s="285" t="s">
        <v>47</v>
      </c>
      <c r="C203" s="377">
        <v>16.3</v>
      </c>
      <c r="D203" s="296">
        <v>14.2</v>
      </c>
      <c r="E203" s="285" t="s">
        <v>47</v>
      </c>
      <c r="F203" s="265">
        <v>11.6</v>
      </c>
      <c r="G203" s="296">
        <v>10.5</v>
      </c>
      <c r="H203" s="285" t="s">
        <v>47</v>
      </c>
      <c r="I203" s="297">
        <v>14.9</v>
      </c>
      <c r="J203" s="297">
        <v>6.1</v>
      </c>
      <c r="K203" s="21"/>
      <c r="L203" s="21"/>
      <c r="M203" s="21"/>
      <c r="N203" s="21"/>
      <c r="O203" s="21"/>
      <c r="P203" s="21"/>
      <c r="Q203" s="21"/>
      <c r="R203" s="21"/>
    </row>
    <row r="204" spans="1:18" x14ac:dyDescent="0.25">
      <c r="A204" s="21"/>
      <c r="B204" s="285" t="s">
        <v>20</v>
      </c>
      <c r="C204" s="377">
        <v>26.7</v>
      </c>
      <c r="D204" s="296">
        <v>11.2</v>
      </c>
      <c r="E204" s="285" t="s">
        <v>20</v>
      </c>
      <c r="F204" s="265">
        <v>15.4</v>
      </c>
      <c r="G204" s="296">
        <v>18.3</v>
      </c>
      <c r="H204" s="285" t="s">
        <v>20</v>
      </c>
      <c r="I204" s="297">
        <v>12.5</v>
      </c>
      <c r="J204" s="297">
        <v>10.8</v>
      </c>
      <c r="K204" s="21"/>
      <c r="L204" s="21"/>
      <c r="M204" s="21"/>
      <c r="N204" s="21"/>
      <c r="O204" s="21"/>
      <c r="P204" s="21"/>
      <c r="Q204" s="21"/>
      <c r="R204" s="21"/>
    </row>
    <row r="205" spans="1:18" ht="16.5" thickBot="1" x14ac:dyDescent="0.3">
      <c r="A205" s="21"/>
      <c r="B205" s="258" t="s">
        <v>182</v>
      </c>
      <c r="C205" s="378">
        <v>13.6</v>
      </c>
      <c r="D205" s="298">
        <v>32.299999999999997</v>
      </c>
      <c r="E205" s="285" t="s">
        <v>49</v>
      </c>
      <c r="F205" s="265">
        <v>13.5</v>
      </c>
      <c r="G205" s="296">
        <v>7.7</v>
      </c>
      <c r="H205" s="285" t="s">
        <v>49</v>
      </c>
      <c r="I205" s="297">
        <v>6.6</v>
      </c>
      <c r="J205" s="297">
        <v>8.1</v>
      </c>
      <c r="K205" s="21"/>
      <c r="L205" s="21"/>
      <c r="M205" s="21"/>
      <c r="N205" s="21"/>
      <c r="O205" s="21"/>
      <c r="P205" s="21"/>
      <c r="Q205" s="21"/>
      <c r="R205" s="21"/>
    </row>
    <row r="206" spans="1:18" ht="18" thickBot="1" x14ac:dyDescent="0.35">
      <c r="A206" s="21"/>
      <c r="B206" s="235"/>
      <c r="C206" s="21"/>
      <c r="D206" s="235"/>
      <c r="E206" s="258" t="s">
        <v>48</v>
      </c>
      <c r="F206" s="266">
        <v>10.6</v>
      </c>
      <c r="G206" s="298">
        <v>9</v>
      </c>
      <c r="H206" s="285" t="s">
        <v>93</v>
      </c>
      <c r="I206" s="297" t="s">
        <v>52</v>
      </c>
      <c r="J206" s="297">
        <v>5.8</v>
      </c>
      <c r="K206" s="21"/>
      <c r="L206" s="21"/>
      <c r="M206" s="21"/>
      <c r="N206" s="21"/>
      <c r="O206" s="21"/>
      <c r="P206" s="21"/>
      <c r="Q206" s="21"/>
      <c r="R206" s="21"/>
    </row>
    <row r="207" spans="1:18" ht="18" thickBot="1" x14ac:dyDescent="0.35">
      <c r="A207" s="21"/>
      <c r="B207" s="247"/>
      <c r="C207" s="21"/>
      <c r="D207" s="235"/>
      <c r="E207" s="235"/>
      <c r="F207" s="235"/>
      <c r="G207" s="268"/>
      <c r="H207" s="258" t="s">
        <v>53</v>
      </c>
      <c r="I207" s="266">
        <v>3.1</v>
      </c>
      <c r="J207" s="266">
        <v>10.3</v>
      </c>
      <c r="K207" s="21"/>
      <c r="L207" s="21"/>
      <c r="M207" s="21"/>
      <c r="N207" s="21"/>
      <c r="O207" s="21"/>
      <c r="P207" s="21"/>
      <c r="Q207" s="21"/>
      <c r="R207" s="21"/>
    </row>
    <row r="208" spans="1:18" ht="17.25" x14ac:dyDescent="0.3">
      <c r="A208" s="21"/>
      <c r="B208" s="247"/>
      <c r="C208" s="247"/>
      <c r="D208" s="235"/>
      <c r="E208" s="235"/>
      <c r="F208" s="235"/>
      <c r="G208" s="235"/>
      <c r="H208" s="235"/>
      <c r="I208" s="235"/>
      <c r="J208" s="21"/>
      <c r="K208" s="21"/>
      <c r="L208" s="21"/>
      <c r="M208" s="21"/>
      <c r="N208" s="21"/>
      <c r="O208" s="21"/>
      <c r="P208" s="21"/>
      <c r="Q208" s="21"/>
      <c r="R208" s="21"/>
    </row>
    <row r="209" spans="1:18" ht="17.25" x14ac:dyDescent="0.3">
      <c r="A209" s="21"/>
      <c r="B209" s="23" t="s">
        <v>183</v>
      </c>
      <c r="C209" s="23"/>
      <c r="D209" s="42"/>
      <c r="E209" s="42"/>
      <c r="F209" s="42"/>
      <c r="G209" s="42"/>
      <c r="H209" s="42"/>
      <c r="I209" s="42"/>
      <c r="J209" s="15"/>
      <c r="K209" s="15"/>
      <c r="L209" s="15"/>
      <c r="M209" s="21"/>
      <c r="N209" s="21"/>
      <c r="O209" s="21"/>
      <c r="P209" s="21"/>
      <c r="Q209" s="21"/>
      <c r="R209" s="21"/>
    </row>
    <row r="210" spans="1:18" ht="3.75" customHeight="1" thickBot="1" x14ac:dyDescent="0.35">
      <c r="A210" s="21"/>
      <c r="B210" s="247"/>
      <c r="C210" s="247"/>
      <c r="D210" s="235"/>
      <c r="E210" s="235"/>
      <c r="F210" s="235"/>
      <c r="G210" s="235"/>
      <c r="H210" s="235"/>
      <c r="I210" s="235"/>
      <c r="J210" s="21"/>
      <c r="K210" s="21"/>
      <c r="L210" s="21"/>
      <c r="M210" s="21"/>
      <c r="N210" s="21"/>
      <c r="O210" s="21"/>
      <c r="P210" s="21"/>
      <c r="Q210" s="21"/>
      <c r="R210" s="21"/>
    </row>
    <row r="211" spans="1:18" x14ac:dyDescent="0.25">
      <c r="A211" s="21"/>
      <c r="B211" s="43"/>
      <c r="C211" s="27" t="s">
        <v>7</v>
      </c>
      <c r="D211" s="27" t="s">
        <v>8</v>
      </c>
      <c r="E211" s="27"/>
      <c r="F211" s="27" t="s">
        <v>184</v>
      </c>
      <c r="G211" s="269"/>
      <c r="H211" s="269"/>
      <c r="I211" s="269"/>
      <c r="J211" s="293"/>
      <c r="K211" s="21"/>
      <c r="L211" s="21"/>
      <c r="M211" s="21"/>
      <c r="N211" s="21"/>
      <c r="O211" s="21"/>
      <c r="P211" s="21"/>
      <c r="Q211" s="21"/>
      <c r="R211" s="21"/>
    </row>
    <row r="212" spans="1:18" x14ac:dyDescent="0.25">
      <c r="A212" s="21"/>
      <c r="B212" s="255" t="s">
        <v>6</v>
      </c>
      <c r="C212" s="361">
        <v>3828</v>
      </c>
      <c r="D212" s="280">
        <v>6388</v>
      </c>
      <c r="E212" s="255" t="s">
        <v>6</v>
      </c>
      <c r="F212" s="281">
        <v>8227</v>
      </c>
      <c r="G212" s="282"/>
      <c r="H212" s="283"/>
      <c r="I212" s="283"/>
      <c r="J212" s="284"/>
      <c r="K212" s="21"/>
      <c r="L212" s="21"/>
      <c r="M212" s="21"/>
      <c r="N212" s="21"/>
      <c r="O212" s="21"/>
      <c r="P212" s="21"/>
      <c r="Q212" s="21"/>
      <c r="R212" s="21"/>
    </row>
    <row r="213" spans="1:18" x14ac:dyDescent="0.25">
      <c r="A213" s="21"/>
      <c r="B213" s="285" t="s">
        <v>45</v>
      </c>
      <c r="C213" s="362">
        <v>2293</v>
      </c>
      <c r="D213" s="286">
        <v>4701</v>
      </c>
      <c r="E213" s="285" t="s">
        <v>45</v>
      </c>
      <c r="F213" s="287">
        <v>6151</v>
      </c>
      <c r="G213" s="278"/>
      <c r="H213" s="288"/>
      <c r="I213" s="288"/>
      <c r="J213" s="289"/>
      <c r="K213" s="21"/>
      <c r="L213" s="21"/>
      <c r="M213" s="21"/>
      <c r="N213" s="21"/>
      <c r="O213" s="21"/>
      <c r="P213" s="21"/>
      <c r="Q213" s="21"/>
      <c r="R213" s="21"/>
    </row>
    <row r="214" spans="1:18" x14ac:dyDescent="0.25">
      <c r="A214" s="21"/>
      <c r="B214" s="285" t="s">
        <v>46</v>
      </c>
      <c r="C214" s="362">
        <v>852</v>
      </c>
      <c r="D214" s="286">
        <v>709</v>
      </c>
      <c r="E214" s="285" t="s">
        <v>46</v>
      </c>
      <c r="F214" s="287">
        <v>1007</v>
      </c>
      <c r="G214" s="278"/>
      <c r="H214" s="288"/>
      <c r="I214" s="288"/>
      <c r="J214" s="289"/>
      <c r="K214" s="21"/>
      <c r="L214" s="21"/>
      <c r="M214" s="21"/>
      <c r="N214" s="21"/>
      <c r="O214" s="21"/>
      <c r="P214" s="21"/>
      <c r="Q214" s="21"/>
      <c r="R214" s="21"/>
    </row>
    <row r="215" spans="1:18" ht="27" customHeight="1" x14ac:dyDescent="0.25">
      <c r="A215" s="21"/>
      <c r="B215" s="285" t="s">
        <v>47</v>
      </c>
      <c r="C215" s="362">
        <v>232</v>
      </c>
      <c r="D215" s="286">
        <v>261</v>
      </c>
      <c r="E215" s="285" t="s">
        <v>47</v>
      </c>
      <c r="F215" s="287">
        <v>336</v>
      </c>
      <c r="G215" s="278"/>
      <c r="H215" s="288"/>
      <c r="I215" s="288"/>
      <c r="J215" s="289"/>
      <c r="K215" s="21"/>
      <c r="L215" s="21"/>
      <c r="M215" s="21"/>
      <c r="N215" s="21"/>
      <c r="O215" s="21"/>
      <c r="P215" s="21"/>
      <c r="Q215" s="21"/>
      <c r="R215" s="21"/>
    </row>
    <row r="216" spans="1:18" x14ac:dyDescent="0.25">
      <c r="A216" s="21"/>
      <c r="B216" s="285" t="s">
        <v>20</v>
      </c>
      <c r="C216" s="362">
        <v>343</v>
      </c>
      <c r="D216" s="286">
        <v>421</v>
      </c>
      <c r="E216" s="285" t="s">
        <v>20</v>
      </c>
      <c r="F216" s="287">
        <v>249</v>
      </c>
      <c r="G216" s="278"/>
      <c r="H216" s="288"/>
      <c r="I216" s="288"/>
      <c r="J216" s="289"/>
      <c r="K216" s="21"/>
      <c r="L216" s="21"/>
      <c r="M216" s="21"/>
      <c r="N216" s="21"/>
      <c r="O216" s="21"/>
      <c r="P216" s="21"/>
      <c r="Q216" s="21"/>
      <c r="R216" s="21"/>
    </row>
    <row r="217" spans="1:18" ht="16.5" thickBot="1" x14ac:dyDescent="0.3">
      <c r="A217" s="21"/>
      <c r="B217" s="258" t="s">
        <v>48</v>
      </c>
      <c r="C217" s="363">
        <v>108</v>
      </c>
      <c r="D217" s="290">
        <v>296</v>
      </c>
      <c r="E217" s="285" t="s">
        <v>49</v>
      </c>
      <c r="F217" s="287">
        <v>333</v>
      </c>
      <c r="G217" s="278"/>
      <c r="H217" s="288"/>
      <c r="I217" s="288"/>
      <c r="J217" s="289"/>
      <c r="K217" s="21"/>
      <c r="L217" s="21"/>
      <c r="M217" s="21"/>
      <c r="N217" s="21"/>
      <c r="O217" s="21"/>
      <c r="P217" s="21"/>
      <c r="Q217" s="21"/>
      <c r="R217" s="21"/>
    </row>
    <row r="218" spans="1:18" ht="18" thickBot="1" x14ac:dyDescent="0.35">
      <c r="A218" s="21"/>
      <c r="B218" s="235"/>
      <c r="C218" s="21"/>
      <c r="D218" s="235"/>
      <c r="E218" s="258" t="s">
        <v>48</v>
      </c>
      <c r="F218" s="291">
        <v>151</v>
      </c>
      <c r="G218" s="278"/>
      <c r="H218" s="288"/>
      <c r="I218" s="288"/>
      <c r="J218" s="289"/>
      <c r="K218" s="21"/>
      <c r="L218" s="21"/>
      <c r="M218" s="21"/>
      <c r="N218" s="21"/>
      <c r="O218" s="21"/>
      <c r="P218" s="21"/>
      <c r="Q218" s="21"/>
      <c r="R218" s="21"/>
    </row>
    <row r="219" spans="1:18" ht="17.25" x14ac:dyDescent="0.3">
      <c r="A219" s="21"/>
      <c r="B219" s="235"/>
      <c r="C219" s="235"/>
      <c r="D219" s="268"/>
      <c r="E219" s="278"/>
      <c r="F219" s="292"/>
      <c r="G219" s="292"/>
      <c r="H219" s="292"/>
      <c r="I219" s="235"/>
      <c r="J219" s="21"/>
      <c r="K219" s="21"/>
      <c r="L219" s="21"/>
      <c r="M219" s="21"/>
      <c r="N219" s="21"/>
      <c r="O219" s="21"/>
      <c r="P219" s="21"/>
      <c r="Q219" s="21"/>
      <c r="R219" s="21"/>
    </row>
    <row r="220" spans="1:18" ht="17.25" x14ac:dyDescent="0.3">
      <c r="A220" s="21"/>
      <c r="B220" s="23" t="s">
        <v>185</v>
      </c>
      <c r="C220" s="23"/>
      <c r="D220" s="42"/>
      <c r="E220" s="42"/>
      <c r="F220" s="42"/>
      <c r="G220" s="42"/>
      <c r="H220" s="42"/>
      <c r="I220" s="42"/>
      <c r="J220" s="15"/>
      <c r="K220" s="15"/>
      <c r="L220" s="15"/>
      <c r="M220" s="21"/>
      <c r="N220" s="21"/>
      <c r="O220" s="21"/>
      <c r="P220" s="21"/>
      <c r="Q220" s="21"/>
      <c r="R220" s="21"/>
    </row>
    <row r="221" spans="1:18" ht="3.75" customHeight="1" thickBot="1" x14ac:dyDescent="0.35">
      <c r="A221" s="21"/>
      <c r="B221" s="247"/>
      <c r="C221" s="247"/>
      <c r="D221" s="235"/>
      <c r="E221" s="235"/>
      <c r="F221" s="235"/>
      <c r="G221" s="235"/>
      <c r="H221" s="235"/>
      <c r="I221" s="235"/>
      <c r="J221" s="21"/>
      <c r="K221" s="21"/>
      <c r="L221" s="21"/>
      <c r="M221" s="21"/>
      <c r="N221" s="21"/>
      <c r="O221" s="21"/>
      <c r="P221" s="21"/>
      <c r="Q221" s="21"/>
      <c r="R221" s="21"/>
    </row>
    <row r="222" spans="1:18" ht="17.25" x14ac:dyDescent="0.3">
      <c r="A222" s="21"/>
      <c r="B222" s="27"/>
      <c r="C222" s="27" t="s">
        <v>7</v>
      </c>
      <c r="D222" s="27" t="s">
        <v>8</v>
      </c>
      <c r="E222" s="27" t="s">
        <v>26</v>
      </c>
      <c r="F222" s="235"/>
      <c r="G222" s="235"/>
      <c r="H222" s="235"/>
      <c r="I222" s="235"/>
      <c r="J222" s="21"/>
      <c r="K222" s="21"/>
      <c r="L222" s="21"/>
      <c r="M222" s="21"/>
      <c r="N222" s="21"/>
      <c r="O222" s="21"/>
      <c r="P222" s="21"/>
      <c r="Q222" s="21"/>
      <c r="R222" s="21"/>
    </row>
    <row r="223" spans="1:18" ht="17.25" x14ac:dyDescent="0.3">
      <c r="A223" s="21"/>
      <c r="B223" s="257" t="s">
        <v>138</v>
      </c>
      <c r="C223" s="379">
        <v>0.81200000000000006</v>
      </c>
      <c r="D223" s="277">
        <v>0.89214151534126485</v>
      </c>
      <c r="E223" s="277">
        <v>0.90500000000000003</v>
      </c>
      <c r="F223" s="278"/>
      <c r="G223" s="235"/>
      <c r="H223" s="235"/>
      <c r="I223" s="235"/>
      <c r="J223" s="21"/>
      <c r="K223" s="21"/>
      <c r="L223" s="21"/>
      <c r="M223" s="21"/>
      <c r="N223" s="21"/>
      <c r="O223" s="21"/>
      <c r="P223" s="21"/>
      <c r="Q223" s="21"/>
      <c r="R223" s="21"/>
    </row>
    <row r="224" spans="1:18" ht="18" thickBot="1" x14ac:dyDescent="0.35">
      <c r="A224" s="21"/>
      <c r="B224" s="258" t="s">
        <v>139</v>
      </c>
      <c r="C224" s="380">
        <v>0.188</v>
      </c>
      <c r="D224" s="279">
        <v>0.10785848465873513</v>
      </c>
      <c r="E224" s="272">
        <v>9.5000000000000001E-2</v>
      </c>
      <c r="F224" s="278"/>
      <c r="G224" s="235"/>
      <c r="H224" s="235"/>
      <c r="I224" s="235"/>
      <c r="J224" s="21"/>
      <c r="K224" s="21"/>
      <c r="L224" s="21"/>
      <c r="M224" s="21"/>
      <c r="N224" s="21"/>
      <c r="O224" s="21"/>
      <c r="P224" s="21"/>
      <c r="Q224" s="21"/>
      <c r="R224" s="21"/>
    </row>
    <row r="225" spans="1:18" ht="17.25" x14ac:dyDescent="0.3">
      <c r="A225" s="21"/>
      <c r="B225" s="247"/>
      <c r="C225" s="247"/>
      <c r="D225" s="235"/>
      <c r="E225" s="235"/>
      <c r="F225" s="235"/>
      <c r="G225" s="235"/>
      <c r="H225" s="235"/>
      <c r="I225" s="235"/>
      <c r="J225" s="21"/>
      <c r="K225" s="21"/>
      <c r="L225" s="21"/>
      <c r="M225" s="21"/>
      <c r="N225" s="21"/>
      <c r="O225" s="21"/>
      <c r="P225" s="21"/>
      <c r="Q225" s="21"/>
      <c r="R225" s="21"/>
    </row>
    <row r="226" spans="1:18" ht="17.25" x14ac:dyDescent="0.3">
      <c r="A226" s="347"/>
      <c r="B226" s="23" t="s">
        <v>186</v>
      </c>
      <c r="C226" s="23"/>
      <c r="D226" s="42"/>
      <c r="E226" s="42"/>
      <c r="F226" s="42"/>
      <c r="G226" s="42"/>
      <c r="H226" s="42"/>
      <c r="I226" s="42"/>
      <c r="J226" s="15"/>
      <c r="K226" s="15"/>
      <c r="L226" s="15"/>
      <c r="M226" s="21"/>
      <c r="N226" s="21"/>
      <c r="O226" s="21"/>
      <c r="P226" s="21"/>
      <c r="Q226" s="21"/>
      <c r="R226" s="21"/>
    </row>
    <row r="227" spans="1:18" ht="3.75" customHeight="1" thickBot="1" x14ac:dyDescent="0.35">
      <c r="A227" s="21"/>
      <c r="B227" s="247"/>
      <c r="C227" s="247"/>
      <c r="D227" s="235"/>
      <c r="E227" s="235"/>
      <c r="F227" s="235"/>
      <c r="G227" s="235"/>
      <c r="H227" s="235"/>
      <c r="I227" s="235"/>
      <c r="J227" s="21"/>
      <c r="K227" s="21"/>
      <c r="L227" s="21"/>
      <c r="M227" s="21"/>
      <c r="N227" s="21"/>
      <c r="O227" s="21"/>
      <c r="P227" s="21"/>
      <c r="Q227" s="21"/>
      <c r="R227" s="21"/>
    </row>
    <row r="228" spans="1:18" ht="17.25" x14ac:dyDescent="0.3">
      <c r="A228" s="21"/>
      <c r="B228" s="26" t="s">
        <v>147</v>
      </c>
      <c r="C228" s="27" t="s">
        <v>148</v>
      </c>
      <c r="D228" s="27" t="s">
        <v>149</v>
      </c>
      <c r="E228" s="27" t="s">
        <v>150</v>
      </c>
      <c r="F228" s="27" t="s">
        <v>151</v>
      </c>
      <c r="G228" s="27" t="s">
        <v>152</v>
      </c>
      <c r="H228" s="27" t="s">
        <v>153</v>
      </c>
      <c r="I228" s="235"/>
      <c r="J228" s="21"/>
      <c r="K228" s="21"/>
      <c r="L228" s="21"/>
      <c r="M228" s="21"/>
      <c r="N228" s="21"/>
      <c r="O228" s="21"/>
      <c r="P228" s="21"/>
      <c r="Q228" s="21"/>
      <c r="R228" s="21"/>
    </row>
    <row r="229" spans="1:18" ht="16.5" thickBot="1" x14ac:dyDescent="0.3">
      <c r="A229" s="21"/>
      <c r="B229" s="46" t="s">
        <v>7</v>
      </c>
      <c r="C229" s="279">
        <v>0.46800000000000003</v>
      </c>
      <c r="D229" s="279">
        <v>0.17399999999999999</v>
      </c>
      <c r="E229" s="279">
        <v>0.221</v>
      </c>
      <c r="F229" s="279">
        <v>0.106</v>
      </c>
      <c r="G229" s="279">
        <v>0.03</v>
      </c>
      <c r="H229" s="279">
        <v>1E-3</v>
      </c>
      <c r="I229" s="275"/>
      <c r="J229" s="21"/>
      <c r="K229" s="21"/>
      <c r="L229" s="21"/>
      <c r="M229" s="21"/>
      <c r="N229" s="21"/>
      <c r="O229" s="21"/>
      <c r="P229" s="21"/>
      <c r="Q229" s="21"/>
      <c r="R229" s="21"/>
    </row>
    <row r="230" spans="1:18" ht="17.25" x14ac:dyDescent="0.3">
      <c r="A230" s="21"/>
      <c r="B230" s="26" t="s">
        <v>147</v>
      </c>
      <c r="C230" s="27" t="s">
        <v>148</v>
      </c>
      <c r="D230" s="27" t="s">
        <v>149</v>
      </c>
      <c r="E230" s="27" t="s">
        <v>150</v>
      </c>
      <c r="F230" s="27" t="s">
        <v>151</v>
      </c>
      <c r="G230" s="27" t="s">
        <v>152</v>
      </c>
      <c r="H230" s="27" t="s">
        <v>153</v>
      </c>
      <c r="I230" s="235"/>
      <c r="J230" s="21"/>
      <c r="K230" s="21"/>
      <c r="L230" s="21"/>
      <c r="M230" s="21"/>
      <c r="N230" s="21"/>
      <c r="O230" s="21"/>
      <c r="P230" s="21"/>
      <c r="Q230" s="21"/>
      <c r="R230" s="21"/>
    </row>
    <row r="231" spans="1:18" ht="16.5" thickBot="1" x14ac:dyDescent="0.3">
      <c r="A231" s="21"/>
      <c r="B231" s="46" t="s">
        <v>8</v>
      </c>
      <c r="C231" s="50">
        <v>0.43706950532247962</v>
      </c>
      <c r="D231" s="50">
        <v>0.18237319974953037</v>
      </c>
      <c r="E231" s="50">
        <v>0.22730118973074515</v>
      </c>
      <c r="F231" s="50">
        <v>0.11693800876643706</v>
      </c>
      <c r="G231" s="50">
        <v>3.3656856606136508E-2</v>
      </c>
      <c r="H231" s="50">
        <v>2.6612398246712585E-3</v>
      </c>
      <c r="I231" s="275"/>
      <c r="J231" s="21"/>
      <c r="K231" s="21"/>
      <c r="L231" s="21"/>
      <c r="M231" s="21"/>
      <c r="N231" s="21"/>
      <c r="O231" s="21"/>
      <c r="P231" s="21"/>
      <c r="Q231" s="21"/>
      <c r="R231" s="21"/>
    </row>
    <row r="232" spans="1:18" ht="17.25" x14ac:dyDescent="0.3">
      <c r="A232" s="21"/>
      <c r="B232" s="26"/>
      <c r="C232" s="27" t="s">
        <v>148</v>
      </c>
      <c r="D232" s="27" t="s">
        <v>149</v>
      </c>
      <c r="E232" s="27" t="s">
        <v>150</v>
      </c>
      <c r="F232" s="27" t="s">
        <v>151</v>
      </c>
      <c r="G232" s="27" t="s">
        <v>152</v>
      </c>
      <c r="H232" s="27" t="s">
        <v>153</v>
      </c>
      <c r="I232" s="235"/>
      <c r="J232" s="21"/>
      <c r="K232" s="21"/>
      <c r="L232" s="21"/>
      <c r="M232" s="21"/>
      <c r="N232" s="21"/>
      <c r="O232" s="21"/>
      <c r="P232" s="21"/>
      <c r="Q232" s="21"/>
      <c r="R232" s="21"/>
    </row>
    <row r="233" spans="1:18" ht="18" thickBot="1" x14ac:dyDescent="0.35">
      <c r="A233" s="21"/>
      <c r="B233" s="46" t="s">
        <v>26</v>
      </c>
      <c r="C233" s="50">
        <v>0.46899999999999997</v>
      </c>
      <c r="D233" s="50">
        <v>0.17499999999999999</v>
      </c>
      <c r="E233" s="50">
        <v>0.219</v>
      </c>
      <c r="F233" s="50">
        <v>0.108</v>
      </c>
      <c r="G233" s="50">
        <v>2.7E-2</v>
      </c>
      <c r="H233" s="50">
        <v>2E-3</v>
      </c>
      <c r="I233" s="276"/>
      <c r="J233" s="21"/>
      <c r="K233" s="21"/>
      <c r="L233" s="21"/>
      <c r="M233" s="21"/>
      <c r="N233" s="21"/>
      <c r="O233" s="21"/>
      <c r="P233" s="21"/>
      <c r="Q233" s="21"/>
      <c r="R233" s="21"/>
    </row>
    <row r="234" spans="1:18" ht="17.25" x14ac:dyDescent="0.3">
      <c r="A234" s="21"/>
      <c r="B234" s="247"/>
      <c r="C234" s="247"/>
      <c r="D234" s="235"/>
      <c r="E234" s="235"/>
      <c r="F234" s="235"/>
      <c r="G234" s="235"/>
      <c r="H234" s="235"/>
      <c r="I234" s="235"/>
      <c r="J234" s="21"/>
      <c r="K234" s="21"/>
      <c r="L234" s="21"/>
      <c r="M234" s="21"/>
      <c r="N234" s="21"/>
      <c r="O234" s="21"/>
      <c r="P234" s="21"/>
      <c r="Q234" s="21"/>
      <c r="R234" s="21"/>
    </row>
    <row r="235" spans="1:18" ht="17.25" x14ac:dyDescent="0.3">
      <c r="A235" s="21"/>
      <c r="B235" s="235"/>
      <c r="C235" s="235"/>
      <c r="D235" s="235"/>
      <c r="E235" s="235"/>
      <c r="F235" s="235"/>
      <c r="G235" s="235"/>
      <c r="H235" s="235"/>
      <c r="I235" s="235"/>
      <c r="J235" s="21"/>
      <c r="K235" s="21"/>
      <c r="L235" s="21"/>
      <c r="M235" s="21"/>
      <c r="N235" s="21"/>
      <c r="O235" s="21"/>
      <c r="P235" s="21"/>
      <c r="Q235" s="21"/>
      <c r="R235" s="21"/>
    </row>
    <row r="236" spans="1:18" ht="17.25" x14ac:dyDescent="0.3">
      <c r="A236" s="21"/>
      <c r="B236" s="23" t="s">
        <v>187</v>
      </c>
      <c r="C236" s="48"/>
      <c r="D236" s="42"/>
      <c r="E236" s="42"/>
      <c r="F236" s="42"/>
      <c r="G236" s="42"/>
      <c r="H236" s="42"/>
      <c r="I236" s="42"/>
      <c r="J236" s="15"/>
      <c r="K236" s="15"/>
      <c r="L236" s="15"/>
      <c r="M236" s="21"/>
      <c r="N236" s="21"/>
      <c r="O236" s="21"/>
      <c r="P236" s="21"/>
      <c r="Q236" s="21"/>
      <c r="R236" s="21"/>
    </row>
    <row r="237" spans="1:18" ht="3.75" customHeight="1" thickBot="1" x14ac:dyDescent="0.35">
      <c r="A237" s="21"/>
      <c r="B237" s="37"/>
      <c r="C237" s="37"/>
      <c r="D237" s="31"/>
      <c r="E237" s="31"/>
      <c r="F237" s="31"/>
      <c r="G237" s="31"/>
      <c r="H237" s="31"/>
      <c r="I237" s="31"/>
      <c r="J237" s="21"/>
      <c r="K237" s="21"/>
      <c r="L237" s="21"/>
      <c r="M237" s="21"/>
      <c r="N237" s="21"/>
      <c r="O237" s="21"/>
      <c r="P237" s="21"/>
      <c r="Q237" s="21"/>
      <c r="R237" s="21"/>
    </row>
    <row r="238" spans="1:18" x14ac:dyDescent="0.25">
      <c r="A238" s="21"/>
      <c r="B238" s="391"/>
      <c r="C238" s="392"/>
      <c r="D238" s="27" t="s">
        <v>188</v>
      </c>
      <c r="E238" s="27" t="s">
        <v>8</v>
      </c>
      <c r="F238" s="27" t="s">
        <v>26</v>
      </c>
      <c r="G238" s="27" t="s">
        <v>10</v>
      </c>
      <c r="H238" s="27" t="s">
        <v>27</v>
      </c>
      <c r="I238" s="27" t="s">
        <v>28</v>
      </c>
      <c r="J238" s="21"/>
      <c r="K238" s="21"/>
      <c r="L238" s="21"/>
      <c r="M238" s="21"/>
      <c r="N238" s="21"/>
      <c r="O238" s="21"/>
      <c r="P238" s="21"/>
      <c r="Q238" s="21"/>
      <c r="R238" s="21"/>
    </row>
    <row r="239" spans="1:18" x14ac:dyDescent="0.25">
      <c r="A239" s="21"/>
      <c r="B239" s="393" t="s">
        <v>189</v>
      </c>
      <c r="C239" s="394"/>
      <c r="D239" s="273" t="s">
        <v>19</v>
      </c>
      <c r="E239" s="273">
        <v>0.92</v>
      </c>
      <c r="F239" s="273">
        <v>0.94</v>
      </c>
      <c r="G239" s="273">
        <v>0.93</v>
      </c>
      <c r="H239" s="273">
        <v>0.9</v>
      </c>
      <c r="I239" s="273">
        <v>0.92</v>
      </c>
      <c r="J239" s="21"/>
      <c r="K239" s="21"/>
      <c r="L239" s="21"/>
      <c r="M239" s="21"/>
      <c r="N239" s="21"/>
      <c r="O239" s="21"/>
      <c r="P239" s="21"/>
      <c r="Q239" s="21"/>
      <c r="R239" s="21"/>
    </row>
    <row r="240" spans="1:18" x14ac:dyDescent="0.25">
      <c r="A240" s="21"/>
      <c r="B240" s="393" t="s">
        <v>190</v>
      </c>
      <c r="C240" s="394"/>
      <c r="D240" s="273" t="s">
        <v>19</v>
      </c>
      <c r="E240" s="273">
        <v>0.72</v>
      </c>
      <c r="F240" s="273">
        <v>0.72</v>
      </c>
      <c r="G240" s="273">
        <v>0.72</v>
      </c>
      <c r="H240" s="273">
        <v>0.7</v>
      </c>
      <c r="I240" s="273">
        <v>0.68</v>
      </c>
      <c r="J240" s="21"/>
      <c r="K240" s="21"/>
      <c r="L240" s="21"/>
      <c r="M240" s="21"/>
      <c r="N240" s="21"/>
      <c r="O240" s="21"/>
      <c r="P240" s="21"/>
      <c r="Q240" s="21"/>
      <c r="R240" s="21"/>
    </row>
    <row r="241" spans="1:18" ht="28.5" x14ac:dyDescent="0.25">
      <c r="A241" s="21"/>
      <c r="B241" s="395" t="s">
        <v>191</v>
      </c>
      <c r="C241" s="396"/>
      <c r="D241" s="274" t="s">
        <v>19</v>
      </c>
      <c r="E241" s="274">
        <v>0.69</v>
      </c>
      <c r="F241" s="274">
        <v>0.69</v>
      </c>
      <c r="G241" s="274">
        <v>0.67</v>
      </c>
      <c r="H241" s="274">
        <v>0.67</v>
      </c>
      <c r="I241" s="274" t="s">
        <v>192</v>
      </c>
      <c r="J241" s="21"/>
      <c r="K241" s="21"/>
      <c r="L241" s="21"/>
      <c r="M241" s="21"/>
      <c r="N241" s="21"/>
      <c r="O241" s="21"/>
      <c r="P241" s="21"/>
      <c r="Q241" s="21"/>
      <c r="R241" s="21"/>
    </row>
    <row r="242" spans="1:18" ht="17.25" x14ac:dyDescent="0.3">
      <c r="A242" s="21"/>
      <c r="B242" s="247"/>
      <c r="C242" s="247"/>
      <c r="D242" s="235"/>
      <c r="E242" s="235"/>
      <c r="F242" s="235"/>
      <c r="G242" s="235"/>
      <c r="H242" s="235"/>
      <c r="I242" s="235"/>
      <c r="J242" s="21"/>
      <c r="K242" s="21"/>
      <c r="L242" s="21"/>
      <c r="M242" s="21"/>
      <c r="N242" s="21"/>
      <c r="O242" s="21"/>
      <c r="P242" s="21"/>
      <c r="Q242" s="21"/>
      <c r="R242" s="21"/>
    </row>
    <row r="243" spans="1:18" ht="17.25" x14ac:dyDescent="0.3">
      <c r="A243" s="21"/>
      <c r="B243" s="270"/>
      <c r="C243" s="270"/>
      <c r="D243" s="235"/>
      <c r="E243" s="235"/>
      <c r="F243" s="235"/>
      <c r="G243" s="235"/>
      <c r="H243" s="235"/>
      <c r="I243" s="235"/>
      <c r="J243" s="21"/>
      <c r="K243" s="21"/>
      <c r="L243" s="21"/>
      <c r="M243" s="21"/>
      <c r="N243" s="21"/>
      <c r="O243" s="21"/>
      <c r="P243" s="21"/>
      <c r="Q243" s="21"/>
      <c r="R243" s="21"/>
    </row>
    <row r="244" spans="1:18" ht="17.25" x14ac:dyDescent="0.3">
      <c r="A244" s="21"/>
      <c r="B244" s="23" t="s">
        <v>193</v>
      </c>
      <c r="C244" s="48"/>
      <c r="D244" s="42"/>
      <c r="E244" s="42"/>
      <c r="F244" s="42"/>
      <c r="G244" s="42"/>
      <c r="H244" s="42"/>
      <c r="I244" s="42"/>
      <c r="J244" s="15"/>
      <c r="K244" s="15"/>
      <c r="L244" s="15"/>
      <c r="M244" s="21"/>
      <c r="N244" s="21"/>
      <c r="O244" s="21"/>
      <c r="P244" s="21"/>
      <c r="Q244" s="21"/>
      <c r="R244" s="21"/>
    </row>
    <row r="245" spans="1:18" ht="3.75" customHeight="1" thickBot="1" x14ac:dyDescent="0.35">
      <c r="A245" s="21"/>
      <c r="B245" s="247"/>
      <c r="C245" s="247"/>
      <c r="D245" s="235"/>
      <c r="E245" s="235"/>
      <c r="F245" s="235"/>
      <c r="G245" s="235"/>
      <c r="H245" s="235"/>
      <c r="I245" s="235"/>
      <c r="J245" s="21"/>
      <c r="K245" s="21"/>
      <c r="L245" s="21"/>
      <c r="M245" s="21"/>
      <c r="N245" s="21"/>
      <c r="O245" s="21"/>
      <c r="P245" s="21"/>
      <c r="Q245" s="21"/>
      <c r="R245" s="21"/>
    </row>
    <row r="246" spans="1:18" x14ac:dyDescent="0.25">
      <c r="A246" s="21"/>
      <c r="B246" s="391"/>
      <c r="C246" s="392"/>
      <c r="D246" s="27" t="s">
        <v>7</v>
      </c>
      <c r="E246" s="27" t="s">
        <v>8</v>
      </c>
      <c r="F246" s="27" t="s">
        <v>26</v>
      </c>
      <c r="G246" s="27" t="s">
        <v>10</v>
      </c>
      <c r="H246" s="27" t="s">
        <v>27</v>
      </c>
      <c r="I246" s="27" t="s">
        <v>28</v>
      </c>
      <c r="J246" s="21"/>
      <c r="K246" s="21"/>
      <c r="L246" s="21"/>
      <c r="M246" s="21"/>
      <c r="N246" s="21"/>
      <c r="O246" s="21"/>
      <c r="P246" s="21"/>
      <c r="Q246" s="21"/>
      <c r="R246" s="21"/>
    </row>
    <row r="247" spans="1:18" ht="42.75" x14ac:dyDescent="0.25">
      <c r="A247" s="21"/>
      <c r="B247" s="397" t="s">
        <v>194</v>
      </c>
      <c r="C247" s="397"/>
      <c r="D247" s="51" t="s">
        <v>195</v>
      </c>
      <c r="E247" s="51" t="s">
        <v>196</v>
      </c>
      <c r="F247" s="51" t="s">
        <v>197</v>
      </c>
      <c r="G247" s="51" t="s">
        <v>198</v>
      </c>
      <c r="H247" s="51" t="s">
        <v>199</v>
      </c>
      <c r="I247" s="51" t="s">
        <v>200</v>
      </c>
      <c r="J247" s="21"/>
      <c r="K247" s="21"/>
      <c r="L247" s="21"/>
      <c r="M247" s="21"/>
      <c r="N247" s="21"/>
      <c r="O247" s="21"/>
      <c r="P247" s="21"/>
      <c r="Q247" s="21"/>
      <c r="R247" s="21"/>
    </row>
    <row r="248" spans="1:18" ht="17.25" x14ac:dyDescent="0.3">
      <c r="A248" s="21"/>
      <c r="B248" s="247"/>
      <c r="C248" s="247"/>
      <c r="D248" s="235"/>
      <c r="E248" s="235"/>
      <c r="F248" s="235"/>
      <c r="G248" s="235"/>
      <c r="H248" s="235"/>
      <c r="I248" s="235"/>
      <c r="J248" s="21"/>
      <c r="K248" s="21"/>
      <c r="L248" s="21"/>
      <c r="M248" s="21"/>
      <c r="N248" s="21"/>
      <c r="O248" s="21"/>
      <c r="P248" s="21"/>
      <c r="Q248" s="21"/>
      <c r="R248" s="21"/>
    </row>
    <row r="249" spans="1:18" ht="17.25" x14ac:dyDescent="0.3">
      <c r="A249" s="21"/>
      <c r="B249" s="23" t="s">
        <v>201</v>
      </c>
      <c r="C249" s="48"/>
      <c r="D249" s="42"/>
      <c r="E249" s="42"/>
      <c r="F249" s="42"/>
      <c r="G249" s="42"/>
      <c r="H249" s="42"/>
      <c r="I249" s="42"/>
      <c r="J249" s="15"/>
      <c r="K249" s="15"/>
      <c r="L249" s="15"/>
      <c r="M249" s="21"/>
      <c r="N249" s="21"/>
      <c r="O249" s="21"/>
      <c r="P249" s="21"/>
      <c r="Q249" s="21"/>
      <c r="R249" s="21"/>
    </row>
    <row r="250" spans="1:18" ht="3.75" customHeight="1" thickBot="1" x14ac:dyDescent="0.35">
      <c r="A250" s="21"/>
      <c r="B250" s="247"/>
      <c r="C250" s="247"/>
      <c r="D250" s="235"/>
      <c r="E250" s="235"/>
      <c r="F250" s="235"/>
      <c r="G250" s="235"/>
      <c r="H250" s="235"/>
      <c r="I250" s="235"/>
      <c r="J250" s="21"/>
      <c r="K250" s="21"/>
      <c r="L250" s="21"/>
      <c r="M250" s="21"/>
      <c r="N250" s="21"/>
      <c r="O250" s="21"/>
      <c r="P250" s="21"/>
      <c r="Q250" s="21"/>
      <c r="R250" s="21"/>
    </row>
    <row r="251" spans="1:18" x14ac:dyDescent="0.25">
      <c r="A251" s="21"/>
      <c r="B251" s="27"/>
      <c r="C251" s="27" t="s">
        <v>7</v>
      </c>
      <c r="D251" s="27" t="s">
        <v>8</v>
      </c>
      <c r="E251" s="27" t="s">
        <v>26</v>
      </c>
      <c r="F251" s="27" t="s">
        <v>202</v>
      </c>
      <c r="G251" s="269"/>
      <c r="H251" s="267"/>
      <c r="I251" s="267"/>
      <c r="J251" s="21"/>
      <c r="K251" s="21"/>
      <c r="L251" s="21"/>
      <c r="M251" s="21"/>
      <c r="N251" s="21"/>
      <c r="O251" s="21"/>
      <c r="P251" s="21"/>
      <c r="Q251" s="21"/>
      <c r="R251" s="21"/>
    </row>
    <row r="252" spans="1:18" x14ac:dyDescent="0.25">
      <c r="A252" s="21"/>
      <c r="B252" s="257" t="s">
        <v>138</v>
      </c>
      <c r="C252" s="271">
        <v>0.98</v>
      </c>
      <c r="D252" s="271">
        <v>0.92500000000000004</v>
      </c>
      <c r="E252" s="271">
        <v>0.95899999999999996</v>
      </c>
      <c r="F252" s="271">
        <v>0.95599999999999996</v>
      </c>
      <c r="G252" s="268"/>
      <c r="H252" s="247"/>
      <c r="I252" s="247"/>
      <c r="J252" s="21"/>
      <c r="K252" s="21"/>
      <c r="L252" s="21"/>
      <c r="M252" s="21"/>
      <c r="N252" s="21"/>
      <c r="O252" s="21"/>
      <c r="P252" s="21"/>
      <c r="Q252" s="21"/>
      <c r="R252" s="21"/>
    </row>
    <row r="253" spans="1:18" ht="17.25" x14ac:dyDescent="0.3">
      <c r="A253" s="21"/>
      <c r="B253" s="258" t="s">
        <v>139</v>
      </c>
      <c r="C253" s="272">
        <v>0.02</v>
      </c>
      <c r="D253" s="272">
        <v>7.4999999999999997E-2</v>
      </c>
      <c r="E253" s="272">
        <v>4.1000000000000002E-2</v>
      </c>
      <c r="F253" s="272">
        <v>4.3999999999999997E-2</v>
      </c>
      <c r="G253" s="235"/>
      <c r="H253" s="235"/>
      <c r="I253" s="267"/>
      <c r="J253" s="21"/>
      <c r="K253" s="21"/>
      <c r="L253" s="21"/>
      <c r="M253" s="21"/>
      <c r="N253" s="21"/>
      <c r="O253" s="21"/>
      <c r="P253" s="21"/>
      <c r="Q253" s="21"/>
      <c r="R253" s="21"/>
    </row>
    <row r="254" spans="1:18" ht="17.25" x14ac:dyDescent="0.3">
      <c r="A254" s="21"/>
      <c r="B254" s="268"/>
      <c r="C254" s="268"/>
      <c r="D254" s="268"/>
      <c r="E254" s="267"/>
      <c r="F254" s="267"/>
      <c r="G254" s="235"/>
      <c r="H254" s="235"/>
      <c r="I254" s="235"/>
      <c r="J254" s="21"/>
      <c r="K254" s="21"/>
      <c r="L254" s="21"/>
      <c r="M254" s="21"/>
      <c r="N254" s="21"/>
      <c r="O254" s="21"/>
      <c r="P254" s="21"/>
      <c r="Q254" s="21"/>
      <c r="R254" s="21"/>
    </row>
    <row r="255" spans="1:18" ht="17.25" x14ac:dyDescent="0.3">
      <c r="A255" s="21"/>
      <c r="B255" s="23" t="s">
        <v>203</v>
      </c>
      <c r="C255" s="48"/>
      <c r="D255" s="42"/>
      <c r="E255" s="42"/>
      <c r="F255" s="42"/>
      <c r="G255" s="42"/>
      <c r="H255" s="42"/>
      <c r="I255" s="42"/>
      <c r="J255" s="15"/>
      <c r="K255" s="15"/>
      <c r="L255" s="15"/>
      <c r="M255" s="21"/>
      <c r="N255" s="21"/>
      <c r="O255" s="21"/>
      <c r="P255" s="21"/>
      <c r="Q255" s="21"/>
      <c r="R255" s="21"/>
    </row>
    <row r="256" spans="1:18" ht="3.75" customHeight="1" thickBot="1" x14ac:dyDescent="0.35">
      <c r="A256" s="21"/>
      <c r="B256" s="247"/>
      <c r="C256" s="247"/>
      <c r="D256" s="235"/>
      <c r="E256" s="235"/>
      <c r="F256" s="235"/>
      <c r="G256" s="235"/>
      <c r="H256" s="235"/>
      <c r="I256" s="235"/>
      <c r="J256" s="21"/>
      <c r="K256" s="21"/>
      <c r="L256" s="21"/>
      <c r="M256" s="21"/>
      <c r="N256" s="21"/>
      <c r="O256" s="21"/>
      <c r="P256" s="21"/>
      <c r="Q256" s="21"/>
      <c r="R256" s="21"/>
    </row>
    <row r="257" spans="1:18" x14ac:dyDescent="0.25">
      <c r="A257" s="21"/>
      <c r="B257" s="27"/>
      <c r="C257" s="27" t="s">
        <v>7</v>
      </c>
      <c r="D257" s="27" t="s">
        <v>8</v>
      </c>
      <c r="E257" s="27"/>
      <c r="F257" s="27" t="s">
        <v>26</v>
      </c>
      <c r="G257" s="27" t="s">
        <v>10</v>
      </c>
      <c r="H257" s="27" t="s">
        <v>27</v>
      </c>
      <c r="I257" s="27" t="s">
        <v>28</v>
      </c>
      <c r="J257" s="21"/>
      <c r="K257" s="21"/>
      <c r="L257" s="21"/>
      <c r="M257" s="21"/>
      <c r="N257" s="21"/>
      <c r="O257" s="21"/>
      <c r="P257" s="21"/>
      <c r="Q257" s="21"/>
      <c r="R257" s="21"/>
    </row>
    <row r="258" spans="1:18" x14ac:dyDescent="0.25">
      <c r="A258" s="21"/>
      <c r="B258" s="257" t="s">
        <v>204</v>
      </c>
      <c r="C258" s="265">
        <v>9.3000000000000007</v>
      </c>
      <c r="D258" s="265">
        <v>12.3</v>
      </c>
      <c r="E258" s="257" t="s">
        <v>204</v>
      </c>
      <c r="F258" s="265">
        <v>20</v>
      </c>
      <c r="G258" s="265">
        <v>25.6</v>
      </c>
      <c r="H258" s="265">
        <v>31.8</v>
      </c>
      <c r="I258" s="265">
        <v>38.9</v>
      </c>
      <c r="J258" s="21"/>
      <c r="K258" s="21"/>
      <c r="L258" s="21"/>
      <c r="M258" s="21"/>
      <c r="N258" s="21"/>
      <c r="O258" s="21"/>
      <c r="P258" s="21"/>
      <c r="Q258" s="21"/>
      <c r="R258" s="21"/>
    </row>
    <row r="259" spans="1:18" x14ac:dyDescent="0.25">
      <c r="A259" s="21"/>
      <c r="B259" s="257" t="s">
        <v>205</v>
      </c>
      <c r="C259" s="265">
        <v>2.4</v>
      </c>
      <c r="D259" s="265">
        <v>2.7</v>
      </c>
      <c r="E259" s="257" t="s">
        <v>205</v>
      </c>
      <c r="F259" s="265">
        <v>2.5</v>
      </c>
      <c r="G259" s="265">
        <v>2.7</v>
      </c>
      <c r="H259" s="265">
        <v>3.1</v>
      </c>
      <c r="I259" s="265">
        <v>3.8</v>
      </c>
      <c r="J259" s="21"/>
      <c r="K259" s="21"/>
      <c r="L259" s="21"/>
      <c r="M259" s="21"/>
      <c r="N259" s="21"/>
      <c r="O259" s="21"/>
      <c r="P259" s="21"/>
      <c r="Q259" s="21"/>
      <c r="R259" s="21"/>
    </row>
    <row r="260" spans="1:18" ht="28.5" x14ac:dyDescent="0.25">
      <c r="A260" s="21"/>
      <c r="B260" s="257" t="s">
        <v>206</v>
      </c>
      <c r="C260" s="265">
        <v>4.5999999999999996</v>
      </c>
      <c r="D260" s="265">
        <v>7.1</v>
      </c>
      <c r="E260" s="257" t="s">
        <v>206</v>
      </c>
      <c r="F260" s="265">
        <v>6.3</v>
      </c>
      <c r="G260" s="265">
        <v>7.4</v>
      </c>
      <c r="H260" s="265">
        <v>6.4</v>
      </c>
      <c r="I260" s="265">
        <v>10</v>
      </c>
      <c r="J260" s="21"/>
      <c r="K260" s="21"/>
      <c r="L260" s="21"/>
      <c r="M260" s="21"/>
      <c r="N260" s="21"/>
      <c r="O260" s="21"/>
      <c r="P260" s="21"/>
      <c r="Q260" s="21"/>
      <c r="R260" s="21"/>
    </row>
    <row r="261" spans="1:18" x14ac:dyDescent="0.25">
      <c r="A261" s="21"/>
      <c r="B261" s="257" t="s">
        <v>207</v>
      </c>
      <c r="C261" s="265">
        <v>5.0999999999999996</v>
      </c>
      <c r="D261" s="265">
        <v>7.1</v>
      </c>
      <c r="E261" s="257" t="s">
        <v>207</v>
      </c>
      <c r="F261" s="265">
        <v>11</v>
      </c>
      <c r="G261" s="265">
        <v>14.2</v>
      </c>
      <c r="H261" s="265">
        <v>16.600000000000001</v>
      </c>
      <c r="I261" s="265">
        <v>20.5</v>
      </c>
      <c r="J261" s="21"/>
      <c r="K261" s="21"/>
      <c r="L261" s="21"/>
      <c r="M261" s="21"/>
      <c r="N261" s="21"/>
      <c r="O261" s="21"/>
      <c r="P261" s="21"/>
      <c r="Q261" s="21"/>
      <c r="R261" s="21"/>
    </row>
    <row r="262" spans="1:18" x14ac:dyDescent="0.25">
      <c r="A262" s="21"/>
      <c r="B262" s="257" t="s">
        <v>20</v>
      </c>
      <c r="C262" s="265">
        <v>1.9</v>
      </c>
      <c r="D262" s="265">
        <v>2.6</v>
      </c>
      <c r="E262" s="257" t="s">
        <v>20</v>
      </c>
      <c r="F262" s="265">
        <v>2.6</v>
      </c>
      <c r="G262" s="265">
        <v>5.4</v>
      </c>
      <c r="H262" s="265">
        <v>7.7</v>
      </c>
      <c r="I262" s="265">
        <v>11</v>
      </c>
      <c r="J262" s="21"/>
      <c r="K262" s="21"/>
      <c r="L262" s="21"/>
      <c r="M262" s="21"/>
      <c r="N262" s="21"/>
      <c r="O262" s="21"/>
      <c r="P262" s="21"/>
      <c r="Q262" s="21"/>
      <c r="R262" s="21"/>
    </row>
    <row r="263" spans="1:18" x14ac:dyDescent="0.25">
      <c r="A263" s="21"/>
      <c r="B263" s="258" t="s">
        <v>6</v>
      </c>
      <c r="C263" s="266">
        <v>4.7</v>
      </c>
      <c r="D263" s="266">
        <v>6.6</v>
      </c>
      <c r="E263" s="257" t="s">
        <v>208</v>
      </c>
      <c r="F263" s="265">
        <v>7.4</v>
      </c>
      <c r="G263" s="265">
        <v>13.4</v>
      </c>
      <c r="H263" s="265">
        <v>13.6</v>
      </c>
      <c r="I263" s="265">
        <v>17.7</v>
      </c>
      <c r="J263" s="21"/>
      <c r="K263" s="21"/>
      <c r="L263" s="21"/>
      <c r="M263" s="21"/>
      <c r="N263" s="21"/>
      <c r="O263" s="21"/>
      <c r="P263" s="21"/>
      <c r="Q263" s="21"/>
      <c r="R263" s="21"/>
    </row>
    <row r="264" spans="1:18" ht="18" thickBot="1" x14ac:dyDescent="0.35">
      <c r="A264" s="21"/>
      <c r="B264" s="235"/>
      <c r="C264" s="21"/>
      <c r="D264" s="235"/>
      <c r="E264" s="258" t="s">
        <v>6</v>
      </c>
      <c r="F264" s="266">
        <v>9.6999999999999993</v>
      </c>
      <c r="G264" s="266">
        <v>13.3</v>
      </c>
      <c r="H264" s="266">
        <v>15.6</v>
      </c>
      <c r="I264" s="266">
        <v>19.3</v>
      </c>
      <c r="J264" s="21"/>
      <c r="K264" s="21"/>
      <c r="L264" s="21"/>
      <c r="M264" s="21"/>
      <c r="N264" s="21"/>
      <c r="O264" s="21"/>
      <c r="P264" s="21"/>
      <c r="Q264" s="21"/>
      <c r="R264" s="21"/>
    </row>
    <row r="265" spans="1:18" ht="17.25" x14ac:dyDescent="0.3">
      <c r="A265" s="21"/>
      <c r="B265" s="267"/>
      <c r="C265" s="267"/>
      <c r="D265" s="235"/>
      <c r="E265" s="235"/>
      <c r="F265" s="235"/>
      <c r="G265" s="235"/>
      <c r="H265" s="235"/>
      <c r="I265" s="235"/>
      <c r="J265" s="21"/>
      <c r="K265" s="21"/>
      <c r="L265" s="21"/>
      <c r="M265" s="21"/>
      <c r="N265" s="21"/>
      <c r="O265" s="21"/>
      <c r="P265" s="21"/>
      <c r="Q265" s="21"/>
      <c r="R265" s="21"/>
    </row>
    <row r="266" spans="1:18" ht="17.25" x14ac:dyDescent="0.3">
      <c r="A266" s="21"/>
      <c r="B266" s="235"/>
      <c r="C266" s="235"/>
      <c r="D266" s="235"/>
      <c r="E266" s="235"/>
      <c r="F266" s="235"/>
      <c r="G266" s="235"/>
      <c r="H266" s="235"/>
      <c r="I266" s="235"/>
      <c r="J266" s="21"/>
      <c r="K266" s="21"/>
      <c r="L266" s="21"/>
      <c r="M266" s="21"/>
      <c r="N266" s="21"/>
      <c r="O266" s="21"/>
      <c r="P266" s="21"/>
      <c r="Q266" s="21"/>
      <c r="R266" s="21"/>
    </row>
    <row r="267" spans="1:18" ht="43.5" customHeight="1" x14ac:dyDescent="0.3">
      <c r="A267" s="21"/>
      <c r="B267" s="55" t="s">
        <v>209</v>
      </c>
      <c r="C267" s="48"/>
      <c r="D267" s="42"/>
      <c r="E267" s="42"/>
      <c r="F267" s="42"/>
      <c r="G267" s="42"/>
      <c r="H267" s="42"/>
      <c r="I267" s="42"/>
      <c r="J267" s="15"/>
      <c r="K267" s="15"/>
      <c r="L267" s="15"/>
      <c r="M267" s="21"/>
      <c r="N267" s="21"/>
      <c r="O267" s="21"/>
      <c r="P267" s="21"/>
      <c r="Q267" s="21"/>
      <c r="R267" s="21"/>
    </row>
    <row r="268" spans="1:18" ht="5.25" customHeight="1" x14ac:dyDescent="0.3">
      <c r="A268" s="21"/>
      <c r="B268" s="37"/>
      <c r="C268" s="37"/>
      <c r="D268" s="31"/>
      <c r="E268" s="31"/>
      <c r="F268" s="31"/>
      <c r="G268" s="31"/>
      <c r="H268" s="31"/>
      <c r="I268" s="31"/>
      <c r="M268" s="21"/>
      <c r="N268" s="21"/>
      <c r="O268" s="21"/>
      <c r="P268" s="21"/>
      <c r="Q268" s="21"/>
      <c r="R268" s="21"/>
    </row>
    <row r="269" spans="1:18" ht="17.25" x14ac:dyDescent="0.3">
      <c r="A269" s="21"/>
      <c r="B269" s="23" t="s">
        <v>210</v>
      </c>
      <c r="C269" s="48"/>
      <c r="D269" s="42"/>
      <c r="E269" s="42"/>
      <c r="F269" s="42"/>
      <c r="G269" s="42"/>
      <c r="H269" s="42"/>
      <c r="I269" s="42"/>
      <c r="J269" s="15"/>
      <c r="K269" s="15"/>
      <c r="L269" s="15"/>
      <c r="M269" s="21"/>
      <c r="N269" s="21"/>
      <c r="O269" s="21"/>
      <c r="P269" s="21"/>
      <c r="Q269" s="21"/>
      <c r="R269" s="21"/>
    </row>
    <row r="270" spans="1:18" ht="3.75" customHeight="1" thickBot="1" x14ac:dyDescent="0.35">
      <c r="A270" s="21"/>
      <c r="B270" s="247"/>
      <c r="C270" s="247"/>
      <c r="D270" s="235"/>
      <c r="E270" s="235"/>
      <c r="F270" s="235"/>
      <c r="G270" s="235"/>
      <c r="H270" s="235"/>
      <c r="I270" s="235"/>
      <c r="J270" s="21"/>
      <c r="K270" s="21"/>
      <c r="L270" s="21"/>
      <c r="M270" s="21"/>
      <c r="N270" s="21"/>
      <c r="O270" s="21"/>
      <c r="P270" s="21"/>
      <c r="Q270" s="21"/>
      <c r="R270" s="21"/>
    </row>
    <row r="271" spans="1:18" x14ac:dyDescent="0.25">
      <c r="A271" s="21"/>
      <c r="B271" s="27"/>
      <c r="C271" s="27" t="s">
        <v>7</v>
      </c>
      <c r="D271" s="27" t="s">
        <v>8</v>
      </c>
      <c r="E271" s="27" t="s">
        <v>26</v>
      </c>
      <c r="F271" s="27" t="s">
        <v>10</v>
      </c>
      <c r="G271" s="27" t="s">
        <v>27</v>
      </c>
      <c r="H271" s="27" t="s">
        <v>28</v>
      </c>
      <c r="I271" s="27" t="s">
        <v>211</v>
      </c>
      <c r="J271" s="21"/>
      <c r="K271" s="21"/>
      <c r="L271" s="21"/>
      <c r="M271" s="21"/>
      <c r="N271" s="21"/>
      <c r="O271" s="21"/>
      <c r="P271" s="21"/>
      <c r="Q271" s="21"/>
      <c r="R271" s="21"/>
    </row>
    <row r="272" spans="1:18" ht="29.25" thickBot="1" x14ac:dyDescent="0.3">
      <c r="A272" s="21"/>
      <c r="B272" s="29" t="s">
        <v>212</v>
      </c>
      <c r="C272" s="266" t="s">
        <v>213</v>
      </c>
      <c r="D272" s="266" t="s">
        <v>214</v>
      </c>
      <c r="E272" s="49" t="s">
        <v>215</v>
      </c>
      <c r="F272" s="49" t="s">
        <v>216</v>
      </c>
      <c r="G272" s="49" t="s">
        <v>217</v>
      </c>
      <c r="H272" s="49" t="s">
        <v>218</v>
      </c>
      <c r="I272" s="49" t="s">
        <v>219</v>
      </c>
      <c r="J272" s="21"/>
      <c r="K272" s="21"/>
      <c r="L272" s="21"/>
      <c r="M272" s="21"/>
      <c r="N272" s="21"/>
      <c r="O272" s="21"/>
      <c r="P272" s="21"/>
      <c r="Q272" s="21"/>
      <c r="R272" s="21"/>
    </row>
    <row r="273" spans="1:18" ht="18" thickBot="1" x14ac:dyDescent="0.35">
      <c r="A273" s="21"/>
      <c r="B273" s="247"/>
      <c r="C273" s="247"/>
      <c r="D273" s="235"/>
      <c r="E273" s="235"/>
      <c r="F273" s="235"/>
      <c r="G273" s="235"/>
      <c r="H273" s="235"/>
      <c r="I273" s="235"/>
      <c r="J273" s="21"/>
      <c r="K273" s="21"/>
      <c r="L273" s="21"/>
      <c r="M273" s="21"/>
      <c r="N273" s="21"/>
      <c r="O273" s="21"/>
      <c r="P273" s="21"/>
      <c r="Q273" s="21"/>
      <c r="R273" s="21"/>
    </row>
    <row r="274" spans="1:18" ht="28.5" x14ac:dyDescent="0.3">
      <c r="A274" s="21"/>
      <c r="B274" s="26" t="s">
        <v>147</v>
      </c>
      <c r="C274" s="27"/>
      <c r="D274" s="27" t="s">
        <v>220</v>
      </c>
      <c r="E274" s="27" t="s">
        <v>221</v>
      </c>
      <c r="F274" s="27" t="s">
        <v>222</v>
      </c>
      <c r="G274" s="27" t="s">
        <v>223</v>
      </c>
      <c r="H274" s="27" t="s">
        <v>224</v>
      </c>
      <c r="I274" s="31"/>
      <c r="J274" s="21"/>
      <c r="K274" s="21"/>
      <c r="L274" s="21"/>
      <c r="M274" s="21"/>
      <c r="N274" s="21"/>
      <c r="O274" s="21"/>
      <c r="P274" s="21"/>
      <c r="Q274" s="21"/>
      <c r="R274" s="21"/>
    </row>
    <row r="275" spans="1:18" ht="17.25" x14ac:dyDescent="0.3">
      <c r="A275" s="21"/>
      <c r="B275" s="255" t="s">
        <v>7</v>
      </c>
      <c r="C275" s="256" t="s">
        <v>6</v>
      </c>
      <c r="D275" s="381">
        <v>0.93</v>
      </c>
      <c r="E275" s="381">
        <v>0.82</v>
      </c>
      <c r="F275" s="381">
        <v>1.36</v>
      </c>
      <c r="G275" s="381">
        <v>0.75</v>
      </c>
      <c r="H275" s="381">
        <v>1.94</v>
      </c>
      <c r="I275" s="235"/>
      <c r="J275" s="21"/>
      <c r="K275" s="21"/>
      <c r="L275" s="21"/>
      <c r="M275" s="21"/>
      <c r="N275" s="21"/>
      <c r="O275" s="21"/>
      <c r="P275" s="21"/>
      <c r="Q275" s="21"/>
      <c r="R275" s="21"/>
    </row>
    <row r="276" spans="1:18" ht="17.25" x14ac:dyDescent="0.3">
      <c r="A276" s="21"/>
      <c r="B276" s="257"/>
      <c r="C276" s="257" t="s">
        <v>45</v>
      </c>
      <c r="D276" s="381">
        <v>0.67</v>
      </c>
      <c r="E276" s="381">
        <v>0.57999999999999996</v>
      </c>
      <c r="F276" s="381">
        <v>1.33</v>
      </c>
      <c r="G276" s="381">
        <v>0.45</v>
      </c>
      <c r="H276" s="381">
        <v>2.5</v>
      </c>
      <c r="I276" s="235"/>
      <c r="J276" s="21"/>
      <c r="K276" s="21"/>
      <c r="L276" s="21"/>
      <c r="M276" s="21"/>
      <c r="N276" s="21"/>
      <c r="O276" s="21"/>
      <c r="P276" s="21"/>
      <c r="Q276" s="21"/>
      <c r="R276" s="21"/>
    </row>
    <row r="277" spans="1:18" ht="17.25" x14ac:dyDescent="0.3">
      <c r="A277" s="21"/>
      <c r="B277" s="257"/>
      <c r="C277" s="257" t="s">
        <v>46</v>
      </c>
      <c r="D277" s="381">
        <v>0.51</v>
      </c>
      <c r="E277" s="381">
        <v>0.63</v>
      </c>
      <c r="F277" s="381">
        <v>0.2</v>
      </c>
      <c r="G277" s="381">
        <v>0.54</v>
      </c>
      <c r="H277" s="381">
        <v>0.37</v>
      </c>
      <c r="I277" s="235"/>
      <c r="J277" s="21"/>
      <c r="K277" s="21"/>
      <c r="L277" s="21"/>
      <c r="M277" s="21"/>
      <c r="N277" s="21"/>
      <c r="O277" s="21"/>
      <c r="P277" s="21"/>
      <c r="Q277" s="21"/>
      <c r="R277" s="21"/>
    </row>
    <row r="278" spans="1:18" ht="17.25" x14ac:dyDescent="0.3">
      <c r="A278" s="21"/>
      <c r="B278" s="257"/>
      <c r="C278" s="257" t="s">
        <v>47</v>
      </c>
      <c r="D278" s="381">
        <v>3.55</v>
      </c>
      <c r="E278" s="381">
        <v>2.64</v>
      </c>
      <c r="F278" s="381">
        <v>7.51</v>
      </c>
      <c r="G278" s="381">
        <v>2.92</v>
      </c>
      <c r="H278" s="381">
        <v>7.31</v>
      </c>
      <c r="I278" s="235"/>
      <c r="J278" s="21"/>
      <c r="K278" s="21"/>
      <c r="L278" s="21"/>
      <c r="M278" s="21"/>
      <c r="N278" s="21"/>
      <c r="O278" s="21"/>
      <c r="P278" s="21"/>
      <c r="Q278" s="21"/>
      <c r="R278" s="21"/>
    </row>
    <row r="279" spans="1:18" ht="17.25" x14ac:dyDescent="0.3">
      <c r="A279" s="21"/>
      <c r="B279" s="257"/>
      <c r="C279" s="257" t="s">
        <v>20</v>
      </c>
      <c r="D279" s="381">
        <v>0.5</v>
      </c>
      <c r="E279" s="381">
        <v>0.31</v>
      </c>
      <c r="F279" s="381">
        <v>0.94</v>
      </c>
      <c r="G279" s="381">
        <v>0.21</v>
      </c>
      <c r="H279" s="381">
        <v>2.0099999999999998</v>
      </c>
      <c r="I279" s="235"/>
      <c r="J279" s="21"/>
      <c r="K279" s="21"/>
      <c r="L279" s="21"/>
      <c r="M279" s="21"/>
      <c r="N279" s="21"/>
      <c r="O279" s="21"/>
      <c r="P279" s="21"/>
      <c r="Q279" s="21"/>
      <c r="R279" s="21"/>
    </row>
    <row r="280" spans="1:18" ht="18" thickBot="1" x14ac:dyDescent="0.35">
      <c r="A280" s="21"/>
      <c r="B280" s="258"/>
      <c r="C280" s="258" t="s">
        <v>48</v>
      </c>
      <c r="D280" s="300">
        <v>0.42</v>
      </c>
      <c r="E280" s="300">
        <v>0.44</v>
      </c>
      <c r="F280" s="300">
        <v>0.39</v>
      </c>
      <c r="G280" s="300">
        <v>0.55000000000000004</v>
      </c>
      <c r="H280" s="300">
        <v>0.36</v>
      </c>
      <c r="I280" s="235"/>
      <c r="J280" s="21"/>
      <c r="K280" s="21"/>
      <c r="L280" s="21"/>
      <c r="M280" s="21"/>
      <c r="N280" s="21"/>
      <c r="O280" s="21"/>
      <c r="P280" s="21"/>
      <c r="Q280" s="21"/>
      <c r="R280" s="21"/>
    </row>
    <row r="281" spans="1:18" ht="17.25" x14ac:dyDescent="0.3">
      <c r="A281" s="21"/>
      <c r="B281" s="255" t="s">
        <v>225</v>
      </c>
      <c r="C281" s="256" t="s">
        <v>6</v>
      </c>
      <c r="D281" s="257">
        <v>1.4</v>
      </c>
      <c r="E281" s="257">
        <v>1.18</v>
      </c>
      <c r="F281" s="257">
        <v>2.41</v>
      </c>
      <c r="G281" s="257">
        <v>1.5</v>
      </c>
      <c r="H281" s="257">
        <v>3.56</v>
      </c>
      <c r="I281" s="235"/>
      <c r="J281" s="21"/>
      <c r="K281" s="21"/>
      <c r="L281" s="21"/>
      <c r="M281" s="21"/>
      <c r="N281" s="21"/>
      <c r="O281" s="21"/>
      <c r="P281" s="21"/>
      <c r="Q281" s="21"/>
      <c r="R281" s="21"/>
    </row>
    <row r="282" spans="1:18" ht="17.25" x14ac:dyDescent="0.3">
      <c r="A282" s="21"/>
      <c r="B282" s="257"/>
      <c r="C282" s="257" t="s">
        <v>45</v>
      </c>
      <c r="D282" s="257">
        <v>0.93</v>
      </c>
      <c r="E282" s="257">
        <v>0.84</v>
      </c>
      <c r="F282" s="257">
        <v>1.66</v>
      </c>
      <c r="G282" s="257">
        <v>0.88</v>
      </c>
      <c r="H282" s="257">
        <v>3.33</v>
      </c>
      <c r="I282" s="235"/>
      <c r="J282" s="21"/>
      <c r="K282" s="21"/>
      <c r="L282" s="21"/>
      <c r="M282" s="21"/>
      <c r="N282" s="21"/>
      <c r="O282" s="21"/>
      <c r="P282" s="21"/>
      <c r="Q282" s="21"/>
      <c r="R282" s="21"/>
    </row>
    <row r="283" spans="1:18" ht="17.25" x14ac:dyDescent="0.3">
      <c r="A283" s="21"/>
      <c r="B283" s="257"/>
      <c r="C283" s="257" t="s">
        <v>46</v>
      </c>
      <c r="D283" s="257">
        <v>2.06</v>
      </c>
      <c r="E283" s="257">
        <v>1.58</v>
      </c>
      <c r="F283" s="257">
        <v>3.33</v>
      </c>
      <c r="G283" s="257">
        <v>2.23</v>
      </c>
      <c r="H283" s="257">
        <v>5.79</v>
      </c>
      <c r="I283" s="235"/>
      <c r="J283" s="21"/>
      <c r="K283" s="21"/>
      <c r="L283" s="21"/>
      <c r="M283" s="21"/>
      <c r="N283" s="21"/>
      <c r="O283" s="21"/>
      <c r="P283" s="21"/>
      <c r="Q283" s="21"/>
      <c r="R283" s="21"/>
    </row>
    <row r="284" spans="1:18" ht="17.25" x14ac:dyDescent="0.3">
      <c r="A284" s="21"/>
      <c r="B284" s="257"/>
      <c r="C284" s="257" t="s">
        <v>47</v>
      </c>
      <c r="D284" s="257">
        <v>2.23</v>
      </c>
      <c r="E284" s="257">
        <v>2.06</v>
      </c>
      <c r="F284" s="257">
        <v>3.04</v>
      </c>
      <c r="G284" s="257">
        <v>2.09</v>
      </c>
      <c r="H284" s="257">
        <v>4.3099999999999996</v>
      </c>
      <c r="I284" s="235"/>
      <c r="J284" s="21"/>
      <c r="K284" s="21"/>
      <c r="L284" s="21"/>
      <c r="M284" s="21"/>
      <c r="N284" s="21"/>
      <c r="O284" s="21"/>
      <c r="P284" s="21"/>
      <c r="Q284" s="21"/>
      <c r="R284" s="21"/>
    </row>
    <row r="285" spans="1:18" ht="17.25" x14ac:dyDescent="0.3">
      <c r="A285" s="21"/>
      <c r="B285" s="257"/>
      <c r="C285" s="257" t="s">
        <v>20</v>
      </c>
      <c r="D285" s="257">
        <v>0.62</v>
      </c>
      <c r="E285" s="257">
        <v>0.49</v>
      </c>
      <c r="F285" s="257">
        <v>0.95</v>
      </c>
      <c r="G285" s="257">
        <v>0.76</v>
      </c>
      <c r="H285" s="257">
        <v>1.88</v>
      </c>
      <c r="I285" s="235"/>
      <c r="J285" s="21"/>
      <c r="K285" s="21"/>
      <c r="L285" s="21"/>
      <c r="M285" s="21"/>
      <c r="N285" s="21"/>
      <c r="O285" s="21"/>
      <c r="P285" s="21"/>
      <c r="Q285" s="21"/>
      <c r="R285" s="21"/>
    </row>
    <row r="286" spans="1:18" ht="18" thickBot="1" x14ac:dyDescent="0.35">
      <c r="A286" s="21"/>
      <c r="B286" s="258"/>
      <c r="C286" s="258" t="s">
        <v>48</v>
      </c>
      <c r="D286" s="259">
        <v>0.94</v>
      </c>
      <c r="E286" s="259">
        <v>0.7</v>
      </c>
      <c r="F286" s="259">
        <v>1.25</v>
      </c>
      <c r="G286" s="259">
        <v>1.7</v>
      </c>
      <c r="H286" s="259">
        <v>0.92</v>
      </c>
      <c r="I286" s="235"/>
      <c r="J286" s="21"/>
      <c r="K286" s="21"/>
      <c r="L286" s="21"/>
      <c r="M286" s="21"/>
      <c r="N286" s="21"/>
      <c r="O286" s="21"/>
      <c r="P286" s="21"/>
      <c r="Q286" s="21"/>
      <c r="R286" s="21"/>
    </row>
    <row r="287" spans="1:18" ht="17.25" x14ac:dyDescent="0.3">
      <c r="A287" s="21"/>
      <c r="B287" s="255" t="s">
        <v>26</v>
      </c>
      <c r="C287" s="256" t="s">
        <v>6</v>
      </c>
      <c r="D287" s="257">
        <v>1.29</v>
      </c>
      <c r="E287" s="257">
        <v>0.98</v>
      </c>
      <c r="F287" s="257">
        <v>1.9</v>
      </c>
      <c r="G287" s="257">
        <v>0.9</v>
      </c>
      <c r="H287" s="257">
        <v>2.73</v>
      </c>
      <c r="I287" s="235"/>
      <c r="J287" s="21"/>
      <c r="K287" s="21"/>
      <c r="L287" s="21"/>
      <c r="M287" s="21"/>
      <c r="N287" s="21"/>
      <c r="O287" s="21"/>
      <c r="P287" s="21"/>
      <c r="Q287" s="21"/>
      <c r="R287" s="21"/>
    </row>
    <row r="288" spans="1:18" ht="17.25" x14ac:dyDescent="0.3">
      <c r="A288" s="21"/>
      <c r="B288" s="257"/>
      <c r="C288" s="257" t="s">
        <v>45</v>
      </c>
      <c r="D288" s="257">
        <v>0.85</v>
      </c>
      <c r="E288" s="257">
        <v>0.69</v>
      </c>
      <c r="F288" s="257">
        <v>2.1</v>
      </c>
      <c r="G288" s="257">
        <v>0.56218003693889995</v>
      </c>
      <c r="H288" s="257">
        <v>3.3600118209257697</v>
      </c>
      <c r="I288" s="235"/>
      <c r="J288" s="21"/>
      <c r="K288" s="21"/>
      <c r="L288" s="21"/>
      <c r="M288" s="21"/>
      <c r="N288" s="21"/>
      <c r="O288" s="21"/>
      <c r="P288" s="21"/>
      <c r="Q288" s="21"/>
      <c r="R288" s="21"/>
    </row>
    <row r="289" spans="1:18" ht="17.25" x14ac:dyDescent="0.3">
      <c r="A289" s="21"/>
      <c r="B289" s="257"/>
      <c r="C289" s="257" t="s">
        <v>46</v>
      </c>
      <c r="D289" s="257">
        <v>1.98</v>
      </c>
      <c r="E289" s="257">
        <v>1.22</v>
      </c>
      <c r="F289" s="257">
        <v>2.16</v>
      </c>
      <c r="G289" s="257">
        <v>1.226572670458969</v>
      </c>
      <c r="H289" s="257">
        <v>3.3782749326146053</v>
      </c>
      <c r="I289" s="235"/>
      <c r="J289" s="21"/>
      <c r="K289" s="21"/>
      <c r="L289" s="21"/>
      <c r="M289" s="21"/>
      <c r="N289" s="21"/>
      <c r="O289" s="21"/>
      <c r="P289" s="21"/>
      <c r="Q289" s="21"/>
      <c r="R289" s="21"/>
    </row>
    <row r="290" spans="1:18" ht="17.25" x14ac:dyDescent="0.3">
      <c r="A290" s="21"/>
      <c r="B290" s="257"/>
      <c r="C290" s="257" t="s">
        <v>47</v>
      </c>
      <c r="D290" s="257">
        <v>2.08</v>
      </c>
      <c r="E290" s="257">
        <v>2.09</v>
      </c>
      <c r="F290" s="257">
        <v>2.0499999999999998</v>
      </c>
      <c r="G290" s="257">
        <v>1.6977727952166943</v>
      </c>
      <c r="H290" s="257">
        <v>4.3032474629197228</v>
      </c>
      <c r="I290" s="235"/>
      <c r="J290" s="21"/>
      <c r="K290" s="21"/>
      <c r="L290" s="21"/>
      <c r="M290" s="21"/>
      <c r="N290" s="21"/>
      <c r="O290" s="21"/>
      <c r="P290" s="21"/>
      <c r="Q290" s="21"/>
      <c r="R290" s="21"/>
    </row>
    <row r="291" spans="1:18" ht="17.25" x14ac:dyDescent="0.3">
      <c r="A291" s="21"/>
      <c r="B291" s="257"/>
      <c r="C291" s="257" t="s">
        <v>20</v>
      </c>
      <c r="D291" s="257">
        <v>0.63</v>
      </c>
      <c r="E291" s="257">
        <v>0.5</v>
      </c>
      <c r="F291" s="257">
        <v>0.94</v>
      </c>
      <c r="G291" s="257">
        <v>1.51</v>
      </c>
      <c r="H291" s="257">
        <v>2.0499999999999998</v>
      </c>
      <c r="I291" s="235"/>
      <c r="J291" s="21"/>
      <c r="K291" s="21"/>
      <c r="L291" s="21"/>
      <c r="M291" s="21"/>
      <c r="N291" s="21"/>
      <c r="O291" s="21"/>
      <c r="P291" s="21"/>
      <c r="Q291" s="21"/>
      <c r="R291" s="21"/>
    </row>
    <row r="292" spans="1:18" ht="18" thickBot="1" x14ac:dyDescent="0.35">
      <c r="A292" s="21"/>
      <c r="B292" s="258"/>
      <c r="C292" s="258" t="s">
        <v>49</v>
      </c>
      <c r="D292" s="259">
        <v>0.96</v>
      </c>
      <c r="E292" s="259">
        <v>0.7</v>
      </c>
      <c r="F292" s="259">
        <v>1.75</v>
      </c>
      <c r="G292" s="259">
        <v>0.76</v>
      </c>
      <c r="H292" s="259">
        <v>1.7</v>
      </c>
      <c r="I292" s="235"/>
      <c r="J292" s="21"/>
      <c r="K292" s="21"/>
      <c r="L292" s="21"/>
      <c r="M292" s="21"/>
      <c r="N292" s="21"/>
      <c r="O292" s="21"/>
      <c r="P292" s="21"/>
      <c r="Q292" s="21"/>
      <c r="R292" s="21"/>
    </row>
    <row r="293" spans="1:18" ht="18" thickBot="1" x14ac:dyDescent="0.35">
      <c r="A293" s="21"/>
      <c r="B293" s="260"/>
      <c r="C293" s="260" t="s">
        <v>48</v>
      </c>
      <c r="D293" s="261">
        <v>1.53</v>
      </c>
      <c r="E293" s="261">
        <v>1.49</v>
      </c>
      <c r="F293" s="261">
        <v>1.54</v>
      </c>
      <c r="G293" s="261">
        <v>0.47</v>
      </c>
      <c r="H293" s="261">
        <v>1.61</v>
      </c>
      <c r="I293" s="235"/>
      <c r="J293" s="21"/>
      <c r="K293" s="21"/>
      <c r="L293" s="21"/>
      <c r="M293" s="21"/>
      <c r="N293" s="21"/>
      <c r="O293" s="21"/>
      <c r="P293" s="21"/>
      <c r="Q293" s="21"/>
      <c r="R293" s="21"/>
    </row>
    <row r="294" spans="1:18" ht="18" thickBot="1" x14ac:dyDescent="0.35">
      <c r="A294" s="21"/>
      <c r="B294" s="262" t="s">
        <v>226</v>
      </c>
      <c r="C294" s="262" t="s">
        <v>6</v>
      </c>
      <c r="D294" s="263">
        <v>1.8</v>
      </c>
      <c r="E294" s="263" t="s">
        <v>227</v>
      </c>
      <c r="F294" s="263" t="s">
        <v>227</v>
      </c>
      <c r="G294" s="263" t="s">
        <v>227</v>
      </c>
      <c r="H294" s="263" t="s">
        <v>227</v>
      </c>
      <c r="I294" s="235"/>
      <c r="J294" s="21"/>
      <c r="K294" s="21"/>
      <c r="L294" s="21"/>
      <c r="M294" s="21"/>
      <c r="N294" s="21"/>
      <c r="O294" s="21"/>
      <c r="P294" s="21"/>
      <c r="Q294" s="21"/>
      <c r="R294" s="21"/>
    </row>
    <row r="295" spans="1:18" ht="18" thickBot="1" x14ac:dyDescent="0.35">
      <c r="A295" s="21"/>
      <c r="B295" s="262" t="s">
        <v>228</v>
      </c>
      <c r="C295" s="262" t="s">
        <v>6</v>
      </c>
      <c r="D295" s="263">
        <v>1.2</v>
      </c>
      <c r="E295" s="263" t="s">
        <v>227</v>
      </c>
      <c r="F295" s="263" t="s">
        <v>227</v>
      </c>
      <c r="G295" s="263" t="s">
        <v>227</v>
      </c>
      <c r="H295" s="263" t="s">
        <v>227</v>
      </c>
      <c r="I295" s="235"/>
      <c r="J295" s="21"/>
      <c r="K295" s="21"/>
      <c r="L295" s="21"/>
      <c r="M295" s="21"/>
      <c r="N295" s="21"/>
      <c r="O295" s="21"/>
      <c r="P295" s="21"/>
      <c r="Q295" s="21"/>
      <c r="R295" s="21"/>
    </row>
    <row r="296" spans="1:18" ht="17.25" x14ac:dyDescent="0.3">
      <c r="A296" s="21"/>
      <c r="B296" s="255" t="s">
        <v>28</v>
      </c>
      <c r="C296" s="256" t="s">
        <v>6</v>
      </c>
      <c r="D296" s="257">
        <v>2.8</v>
      </c>
      <c r="E296" s="257">
        <v>2.99</v>
      </c>
      <c r="F296" s="257">
        <v>2.15</v>
      </c>
      <c r="G296" s="257">
        <v>2.85</v>
      </c>
      <c r="H296" s="257">
        <v>2.48</v>
      </c>
      <c r="I296" s="235"/>
      <c r="J296" s="21"/>
      <c r="K296" s="21"/>
      <c r="L296" s="21"/>
      <c r="M296" s="21"/>
      <c r="N296" s="21"/>
      <c r="O296" s="21"/>
      <c r="P296" s="21"/>
      <c r="Q296" s="21"/>
      <c r="R296" s="21"/>
    </row>
    <row r="297" spans="1:18" ht="17.25" x14ac:dyDescent="0.3">
      <c r="A297" s="21"/>
      <c r="B297" s="255"/>
      <c r="C297" s="257" t="s">
        <v>45</v>
      </c>
      <c r="D297" s="257">
        <v>4.75</v>
      </c>
      <c r="E297" s="257">
        <v>5.05</v>
      </c>
      <c r="F297" s="257">
        <v>2.2799999999999998</v>
      </c>
      <c r="G297" s="257">
        <v>5.04</v>
      </c>
      <c r="H297" s="257">
        <v>3.35</v>
      </c>
      <c r="I297" s="235"/>
      <c r="J297" s="21"/>
      <c r="K297" s="21"/>
      <c r="L297" s="21"/>
      <c r="M297" s="21"/>
      <c r="N297" s="21"/>
      <c r="O297" s="21"/>
      <c r="P297" s="21"/>
      <c r="Q297" s="21"/>
      <c r="R297" s="21"/>
    </row>
    <row r="298" spans="1:18" ht="17.25" x14ac:dyDescent="0.3">
      <c r="A298" s="21"/>
      <c r="B298" s="257"/>
      <c r="C298" s="257" t="s">
        <v>46</v>
      </c>
      <c r="D298" s="257">
        <v>2.2200000000000002</v>
      </c>
      <c r="E298" s="257">
        <v>1.8</v>
      </c>
      <c r="F298" s="257">
        <v>3.24</v>
      </c>
      <c r="G298" s="257">
        <v>1.76</v>
      </c>
      <c r="H298" s="257">
        <v>2.88</v>
      </c>
      <c r="I298" s="235"/>
      <c r="J298" s="21"/>
      <c r="K298" s="21"/>
      <c r="L298" s="21"/>
      <c r="M298" s="21"/>
      <c r="N298" s="21"/>
      <c r="O298" s="21"/>
      <c r="P298" s="21"/>
      <c r="Q298" s="21"/>
      <c r="R298" s="21"/>
    </row>
    <row r="299" spans="1:18" ht="17.25" x14ac:dyDescent="0.3">
      <c r="A299" s="21"/>
      <c r="B299" s="257"/>
      <c r="C299" s="257" t="s">
        <v>47</v>
      </c>
      <c r="D299" s="257">
        <v>1.43</v>
      </c>
      <c r="E299" s="257">
        <v>1.43</v>
      </c>
      <c r="F299" s="257">
        <v>1.44</v>
      </c>
      <c r="G299" s="257">
        <v>1.26</v>
      </c>
      <c r="H299" s="257">
        <v>2.4</v>
      </c>
      <c r="I299" s="235"/>
      <c r="J299" s="21"/>
      <c r="K299" s="21"/>
      <c r="L299" s="21"/>
      <c r="M299" s="21"/>
      <c r="N299" s="21"/>
      <c r="O299" s="21"/>
      <c r="P299" s="21"/>
      <c r="Q299" s="21"/>
      <c r="R299" s="21"/>
    </row>
    <row r="300" spans="1:18" ht="17.25" x14ac:dyDescent="0.3">
      <c r="A300" s="21"/>
      <c r="B300" s="257"/>
      <c r="C300" s="257" t="s">
        <v>20</v>
      </c>
      <c r="D300" s="257">
        <v>1.85</v>
      </c>
      <c r="E300" s="257">
        <v>1.63</v>
      </c>
      <c r="F300" s="257">
        <v>2.2999999999999998</v>
      </c>
      <c r="G300" s="257">
        <v>1.65</v>
      </c>
      <c r="H300" s="257">
        <v>4.0599999999999996</v>
      </c>
      <c r="I300" s="235"/>
      <c r="J300" s="21"/>
      <c r="K300" s="21"/>
      <c r="L300" s="21"/>
      <c r="M300" s="21"/>
      <c r="N300" s="21"/>
      <c r="O300" s="21"/>
      <c r="P300" s="21"/>
      <c r="Q300" s="21"/>
      <c r="R300" s="21"/>
    </row>
    <row r="301" spans="1:18" ht="17.25" x14ac:dyDescent="0.3">
      <c r="A301" s="21"/>
      <c r="B301" s="257"/>
      <c r="C301" s="257" t="s">
        <v>49</v>
      </c>
      <c r="D301" s="257">
        <v>1.2</v>
      </c>
      <c r="E301" s="257">
        <v>1.04</v>
      </c>
      <c r="F301" s="257">
        <v>1.72</v>
      </c>
      <c r="G301" s="257">
        <v>1.34</v>
      </c>
      <c r="H301" s="257">
        <v>0.66</v>
      </c>
      <c r="I301" s="235"/>
      <c r="J301" s="21"/>
      <c r="K301" s="21"/>
      <c r="L301" s="21"/>
      <c r="M301" s="21"/>
      <c r="N301" s="21"/>
      <c r="O301" s="21"/>
      <c r="P301" s="21"/>
      <c r="Q301" s="21"/>
      <c r="R301" s="21"/>
    </row>
    <row r="302" spans="1:18" ht="17.25" x14ac:dyDescent="0.3">
      <c r="A302" s="21"/>
      <c r="B302" s="257"/>
      <c r="C302" s="257" t="s">
        <v>93</v>
      </c>
      <c r="D302" s="257">
        <v>1.93</v>
      </c>
      <c r="E302" s="257">
        <v>2</v>
      </c>
      <c r="F302" s="257">
        <v>1.78</v>
      </c>
      <c r="G302" s="257">
        <v>1.86</v>
      </c>
      <c r="H302" s="257">
        <v>2.4900000000000002</v>
      </c>
      <c r="I302" s="235"/>
      <c r="J302" s="21"/>
      <c r="K302" s="21"/>
      <c r="L302" s="21"/>
      <c r="M302" s="21"/>
      <c r="N302" s="21"/>
      <c r="O302" s="21"/>
      <c r="P302" s="21"/>
      <c r="Q302" s="21"/>
      <c r="R302" s="21"/>
    </row>
    <row r="303" spans="1:18" ht="18" thickBot="1" x14ac:dyDescent="0.35">
      <c r="A303" s="21"/>
      <c r="B303" s="258"/>
      <c r="C303" s="258" t="s">
        <v>53</v>
      </c>
      <c r="D303" s="259">
        <v>0.69</v>
      </c>
      <c r="E303" s="259">
        <v>0.66</v>
      </c>
      <c r="F303" s="259">
        <v>0.7</v>
      </c>
      <c r="G303" s="259">
        <v>0.72</v>
      </c>
      <c r="H303" s="259">
        <v>0.68</v>
      </c>
      <c r="I303" s="235"/>
      <c r="J303" s="21"/>
      <c r="K303" s="21"/>
      <c r="L303" s="21"/>
      <c r="M303" s="21"/>
      <c r="N303" s="21"/>
      <c r="O303" s="21"/>
      <c r="P303" s="21"/>
      <c r="Q303" s="21"/>
      <c r="R303" s="21"/>
    </row>
    <row r="304" spans="1:18" x14ac:dyDescent="0.25">
      <c r="A304" s="21"/>
      <c r="B304" s="264"/>
      <c r="C304" s="264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</row>
    <row r="305" spans="1:18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</row>
    <row r="306" spans="1:18" s="356" customFormat="1" x14ac:dyDescent="0.25">
      <c r="A306" s="354"/>
      <c r="B306" s="355" t="s">
        <v>229</v>
      </c>
      <c r="C306" s="354"/>
      <c r="D306" s="354"/>
      <c r="E306" s="354"/>
      <c r="F306" s="354"/>
      <c r="G306" s="354"/>
      <c r="H306" s="354"/>
      <c r="I306" s="354"/>
      <c r="J306" s="354"/>
      <c r="K306" s="354"/>
      <c r="L306" s="354"/>
      <c r="M306" s="354"/>
      <c r="N306" s="354"/>
      <c r="O306" s="354"/>
      <c r="P306" s="354"/>
      <c r="Q306" s="354"/>
      <c r="R306" s="354"/>
    </row>
    <row r="307" spans="1:18" s="356" customFormat="1" x14ac:dyDescent="0.25">
      <c r="A307" s="354"/>
      <c r="B307" s="355" t="s">
        <v>230</v>
      </c>
      <c r="C307" s="357"/>
      <c r="D307" s="354"/>
      <c r="E307" s="354"/>
      <c r="F307" s="354"/>
      <c r="G307" s="354"/>
      <c r="H307" s="354"/>
      <c r="I307" s="354"/>
      <c r="J307" s="354"/>
      <c r="K307" s="354"/>
      <c r="L307" s="354"/>
      <c r="M307" s="354"/>
      <c r="N307" s="354"/>
      <c r="O307" s="354"/>
      <c r="P307" s="354"/>
      <c r="Q307" s="354"/>
      <c r="R307" s="354"/>
    </row>
    <row r="308" spans="1:18" s="356" customFormat="1" x14ac:dyDescent="0.25">
      <c r="A308" s="354"/>
      <c r="B308" s="355" t="s">
        <v>231</v>
      </c>
      <c r="C308" s="357"/>
      <c r="D308" s="354"/>
      <c r="E308" s="354"/>
      <c r="F308" s="354"/>
      <c r="G308" s="354"/>
      <c r="H308" s="354"/>
      <c r="I308" s="354"/>
      <c r="J308" s="354"/>
      <c r="K308" s="354"/>
      <c r="L308" s="354"/>
      <c r="M308" s="354"/>
      <c r="N308" s="354"/>
      <c r="O308" s="354"/>
      <c r="P308" s="354"/>
      <c r="Q308" s="354"/>
      <c r="R308" s="354"/>
    </row>
    <row r="309" spans="1:18" s="356" customFormat="1" x14ac:dyDescent="0.25">
      <c r="A309" s="354"/>
      <c r="B309" s="355" t="s">
        <v>232</v>
      </c>
      <c r="C309" s="357"/>
      <c r="D309" s="354"/>
      <c r="E309" s="354"/>
      <c r="F309" s="354"/>
      <c r="G309" s="354"/>
      <c r="H309" s="354"/>
      <c r="I309" s="354"/>
      <c r="J309" s="354"/>
      <c r="K309" s="354"/>
      <c r="L309" s="354"/>
      <c r="M309" s="354"/>
      <c r="N309" s="354"/>
      <c r="O309" s="354"/>
      <c r="P309" s="354"/>
      <c r="Q309" s="354"/>
      <c r="R309" s="354"/>
    </row>
    <row r="310" spans="1:18" s="356" customFormat="1" x14ac:dyDescent="0.25">
      <c r="A310" s="354"/>
      <c r="B310" s="355" t="s">
        <v>233</v>
      </c>
      <c r="C310" s="357"/>
      <c r="D310" s="354"/>
      <c r="E310" s="354"/>
      <c r="F310" s="354"/>
      <c r="G310" s="354"/>
      <c r="H310" s="354"/>
      <c r="I310" s="358"/>
      <c r="J310" s="354"/>
      <c r="K310" s="354"/>
      <c r="L310" s="354"/>
      <c r="M310" s="354"/>
      <c r="N310" s="354"/>
      <c r="O310" s="354"/>
      <c r="P310" s="354"/>
      <c r="Q310" s="354"/>
      <c r="R310" s="354"/>
    </row>
    <row r="311" spans="1:18" s="356" customFormat="1" ht="29.25" customHeight="1" x14ac:dyDescent="0.25">
      <c r="A311" s="354"/>
      <c r="B311" s="390" t="s">
        <v>234</v>
      </c>
      <c r="C311" s="390"/>
      <c r="D311" s="390"/>
      <c r="E311" s="390"/>
      <c r="F311" s="390"/>
      <c r="G311" s="390"/>
      <c r="H311" s="390"/>
      <c r="I311" s="390"/>
      <c r="J311" s="390"/>
      <c r="K311" s="390"/>
      <c r="L311" s="390"/>
      <c r="M311" s="354"/>
      <c r="N311" s="354"/>
      <c r="O311" s="354"/>
      <c r="P311" s="354"/>
      <c r="Q311" s="354"/>
      <c r="R311" s="354"/>
    </row>
    <row r="312" spans="1:18" s="356" customFormat="1" x14ac:dyDescent="0.25">
      <c r="A312" s="354"/>
      <c r="B312" s="355" t="s">
        <v>235</v>
      </c>
      <c r="C312" s="357"/>
      <c r="D312" s="354"/>
      <c r="E312" s="354"/>
      <c r="F312" s="354"/>
      <c r="G312" s="354"/>
      <c r="H312" s="354"/>
      <c r="I312" s="354"/>
      <c r="J312" s="354"/>
      <c r="K312" s="354"/>
      <c r="L312" s="354"/>
      <c r="M312" s="354"/>
      <c r="N312" s="354"/>
      <c r="O312" s="354"/>
      <c r="P312" s="354"/>
      <c r="Q312" s="354"/>
      <c r="R312" s="354"/>
    </row>
    <row r="313" spans="1:18" s="356" customFormat="1" x14ac:dyDescent="0.25">
      <c r="A313" s="354"/>
      <c r="B313" s="355" t="s">
        <v>236</v>
      </c>
      <c r="C313" s="354"/>
      <c r="D313" s="354"/>
      <c r="E313" s="354"/>
      <c r="F313" s="354"/>
      <c r="G313" s="354"/>
      <c r="H313" s="354"/>
      <c r="I313" s="354"/>
      <c r="J313" s="354"/>
      <c r="K313" s="354"/>
      <c r="L313" s="354"/>
      <c r="M313" s="354"/>
      <c r="N313" s="354"/>
      <c r="O313" s="354"/>
      <c r="P313" s="354"/>
      <c r="Q313" s="354"/>
      <c r="R313" s="354"/>
    </row>
    <row r="314" spans="1:18" s="356" customFormat="1" x14ac:dyDescent="0.25">
      <c r="A314" s="354"/>
      <c r="B314" s="355" t="s">
        <v>237</v>
      </c>
      <c r="C314" s="354"/>
      <c r="D314" s="354"/>
      <c r="E314" s="354"/>
      <c r="F314" s="354"/>
      <c r="G314" s="354"/>
      <c r="H314" s="354"/>
      <c r="I314" s="354"/>
      <c r="J314" s="354"/>
      <c r="K314" s="354"/>
      <c r="L314" s="354"/>
      <c r="M314" s="354"/>
      <c r="N314" s="354"/>
      <c r="O314" s="354"/>
      <c r="P314" s="354"/>
      <c r="Q314" s="354"/>
      <c r="R314" s="354"/>
    </row>
    <row r="315" spans="1:18" s="356" customFormat="1" x14ac:dyDescent="0.25">
      <c r="A315" s="354"/>
      <c r="B315" s="355" t="s">
        <v>238</v>
      </c>
      <c r="C315" s="354"/>
      <c r="D315" s="354"/>
      <c r="E315" s="354"/>
      <c r="F315" s="354"/>
      <c r="G315" s="354"/>
      <c r="H315" s="354"/>
      <c r="I315" s="354"/>
      <c r="J315" s="354"/>
      <c r="K315" s="354"/>
      <c r="L315" s="354"/>
      <c r="M315" s="354"/>
      <c r="N315" s="354"/>
      <c r="O315" s="354"/>
      <c r="P315" s="354"/>
      <c r="Q315" s="354"/>
      <c r="R315" s="354"/>
    </row>
    <row r="316" spans="1:18" s="356" customFormat="1" x14ac:dyDescent="0.25">
      <c r="A316" s="354"/>
      <c r="B316" s="355" t="s">
        <v>239</v>
      </c>
      <c r="C316" s="354"/>
      <c r="D316" s="354"/>
      <c r="E316" s="354"/>
      <c r="F316" s="354"/>
      <c r="G316" s="354"/>
      <c r="H316" s="354"/>
      <c r="I316" s="354"/>
      <c r="J316" s="354"/>
      <c r="K316" s="354"/>
      <c r="L316" s="354"/>
      <c r="M316" s="354"/>
      <c r="N316" s="354"/>
      <c r="O316" s="354"/>
      <c r="P316" s="354"/>
      <c r="Q316" s="354"/>
      <c r="R316" s="354"/>
    </row>
    <row r="317" spans="1:18" s="356" customFormat="1" ht="50.25" customHeight="1" x14ac:dyDescent="0.25">
      <c r="A317" s="354"/>
      <c r="B317" s="390" t="s">
        <v>240</v>
      </c>
      <c r="C317" s="390"/>
      <c r="D317" s="390"/>
      <c r="E317" s="390"/>
      <c r="F317" s="390"/>
      <c r="G317" s="390"/>
      <c r="H317" s="390"/>
      <c r="I317" s="390"/>
      <c r="J317" s="390"/>
      <c r="K317" s="390"/>
      <c r="L317" s="390"/>
      <c r="M317" s="390"/>
      <c r="N317" s="390"/>
      <c r="O317" s="390"/>
      <c r="P317" s="390"/>
      <c r="Q317" s="390"/>
      <c r="R317" s="390"/>
    </row>
    <row r="318" spans="1:18" s="356" customFormat="1" x14ac:dyDescent="0.25">
      <c r="A318" s="354"/>
      <c r="B318" s="355" t="s">
        <v>241</v>
      </c>
      <c r="C318" s="354"/>
      <c r="D318" s="354"/>
      <c r="E318" s="354"/>
      <c r="F318" s="354"/>
      <c r="G318" s="354"/>
      <c r="H318" s="354"/>
      <c r="I318" s="354"/>
      <c r="J318" s="354"/>
      <c r="K318" s="354"/>
      <c r="L318" s="354"/>
      <c r="M318" s="354"/>
      <c r="N318" s="354"/>
      <c r="O318" s="354"/>
      <c r="P318" s="354"/>
      <c r="Q318" s="354"/>
      <c r="R318" s="354"/>
    </row>
    <row r="319" spans="1:18" s="356" customFormat="1" x14ac:dyDescent="0.25">
      <c r="A319" s="354"/>
      <c r="B319" s="355" t="s">
        <v>242</v>
      </c>
      <c r="C319" s="354"/>
      <c r="D319" s="354"/>
      <c r="E319" s="354"/>
      <c r="F319" s="354"/>
      <c r="G319" s="354"/>
      <c r="H319" s="354"/>
      <c r="I319" s="354"/>
      <c r="J319" s="354"/>
      <c r="K319" s="354"/>
      <c r="L319" s="354"/>
      <c r="M319" s="354"/>
      <c r="N319" s="354"/>
      <c r="O319" s="354"/>
      <c r="P319" s="354"/>
      <c r="Q319" s="354"/>
      <c r="R319" s="354"/>
    </row>
    <row r="320" spans="1:18" s="356" customFormat="1" x14ac:dyDescent="0.25">
      <c r="A320" s="354"/>
      <c r="B320" s="355" t="s">
        <v>243</v>
      </c>
      <c r="C320" s="354"/>
      <c r="D320" s="354"/>
      <c r="E320" s="354"/>
      <c r="F320" s="354"/>
      <c r="G320" s="354"/>
      <c r="H320" s="354"/>
      <c r="I320" s="354"/>
      <c r="J320" s="354"/>
      <c r="K320" s="354"/>
      <c r="L320" s="354"/>
      <c r="M320" s="354"/>
      <c r="N320" s="354"/>
      <c r="O320" s="354"/>
      <c r="P320" s="354"/>
      <c r="Q320" s="354"/>
      <c r="R320" s="354"/>
    </row>
    <row r="321" spans="1:18" s="359" customFormat="1" ht="28.5" customHeight="1" x14ac:dyDescent="0.25">
      <c r="A321" s="358"/>
      <c r="B321" s="390" t="s">
        <v>244</v>
      </c>
      <c r="C321" s="390"/>
      <c r="D321" s="390"/>
      <c r="E321" s="390"/>
      <c r="F321" s="390"/>
      <c r="G321" s="390"/>
      <c r="H321" s="390"/>
      <c r="I321" s="390"/>
      <c r="J321" s="390"/>
      <c r="K321" s="390"/>
      <c r="L321" s="390"/>
      <c r="M321" s="358"/>
      <c r="N321" s="358"/>
      <c r="O321" s="358"/>
      <c r="P321" s="358"/>
      <c r="Q321" s="358"/>
      <c r="R321" s="358"/>
    </row>
    <row r="322" spans="1:18" s="356" customFormat="1" x14ac:dyDescent="0.25">
      <c r="A322" s="354"/>
      <c r="B322" s="355" t="s">
        <v>245</v>
      </c>
      <c r="C322" s="354"/>
      <c r="D322" s="354"/>
      <c r="E322" s="354"/>
      <c r="F322" s="354"/>
      <c r="G322" s="354"/>
      <c r="H322" s="354"/>
      <c r="I322" s="354"/>
      <c r="J322" s="354"/>
      <c r="K322" s="354"/>
      <c r="L322" s="354"/>
      <c r="M322" s="354"/>
      <c r="N322" s="354"/>
      <c r="O322" s="354"/>
      <c r="P322" s="354"/>
      <c r="Q322" s="354"/>
      <c r="R322" s="354"/>
    </row>
    <row r="323" spans="1:18" s="356" customFormat="1" x14ac:dyDescent="0.25">
      <c r="A323" s="354"/>
      <c r="B323" s="355" t="s">
        <v>246</v>
      </c>
      <c r="C323" s="354"/>
      <c r="D323" s="354"/>
      <c r="E323" s="354"/>
      <c r="F323" s="354"/>
      <c r="G323" s="354"/>
      <c r="H323" s="354"/>
      <c r="I323" s="354"/>
      <c r="J323" s="354"/>
      <c r="K323" s="354"/>
      <c r="L323" s="354"/>
      <c r="M323" s="354"/>
      <c r="N323" s="354"/>
      <c r="O323" s="354"/>
      <c r="P323" s="354"/>
      <c r="Q323" s="354"/>
      <c r="R323" s="354"/>
    </row>
    <row r="324" spans="1:18" s="359" customFormat="1" ht="30.75" customHeight="1" x14ac:dyDescent="0.25">
      <c r="A324" s="358"/>
      <c r="B324" s="390" t="s">
        <v>247</v>
      </c>
      <c r="C324" s="390"/>
      <c r="D324" s="390"/>
      <c r="E324" s="390"/>
      <c r="F324" s="390"/>
      <c r="G324" s="390"/>
      <c r="H324" s="390"/>
      <c r="I324" s="390"/>
      <c r="J324" s="390"/>
      <c r="K324" s="390"/>
      <c r="L324" s="390"/>
      <c r="M324" s="353"/>
      <c r="N324" s="353"/>
      <c r="O324" s="353"/>
      <c r="P324" s="353"/>
      <c r="Q324" s="353"/>
      <c r="R324" s="353"/>
    </row>
    <row r="325" spans="1:18" s="356" customFormat="1" x14ac:dyDescent="0.25">
      <c r="A325" s="354"/>
      <c r="B325" s="355" t="s">
        <v>248</v>
      </c>
      <c r="C325" s="354"/>
      <c r="D325" s="354"/>
      <c r="E325" s="354"/>
      <c r="F325" s="354"/>
      <c r="G325" s="354"/>
      <c r="H325" s="354"/>
      <c r="I325" s="354"/>
      <c r="J325" s="354"/>
      <c r="K325" s="354"/>
      <c r="L325" s="354"/>
      <c r="M325" s="354"/>
      <c r="N325" s="354"/>
      <c r="O325" s="354"/>
      <c r="P325" s="354"/>
      <c r="Q325" s="354"/>
      <c r="R325" s="354"/>
    </row>
    <row r="326" spans="1:18" x14ac:dyDescent="0.25">
      <c r="A326" s="21"/>
      <c r="B326" s="355" t="s">
        <v>249</v>
      </c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</row>
    <row r="327" spans="1:18" x14ac:dyDescent="0.25">
      <c r="A327" s="21"/>
      <c r="B327" s="355" t="s">
        <v>250</v>
      </c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</row>
    <row r="328" spans="1:18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</row>
    <row r="329" spans="1:18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</row>
    <row r="330" spans="1:18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</row>
    <row r="331" spans="1:18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</row>
    <row r="332" spans="1:18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</row>
    <row r="333" spans="1:18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</row>
    <row r="334" spans="1:18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</row>
  </sheetData>
  <mergeCells count="58">
    <mergeCell ref="B40:C40"/>
    <mergeCell ref="B41:C41"/>
    <mergeCell ref="B42:C42"/>
    <mergeCell ref="B43:C43"/>
    <mergeCell ref="B20:C20"/>
    <mergeCell ref="B26:C26"/>
    <mergeCell ref="B32:C32"/>
    <mergeCell ref="B38:C38"/>
    <mergeCell ref="B33:C33"/>
    <mergeCell ref="B34:C34"/>
    <mergeCell ref="B35:C35"/>
    <mergeCell ref="B36:C36"/>
    <mergeCell ref="B37:C37"/>
    <mergeCell ref="B39:C39"/>
    <mergeCell ref="B25:C25"/>
    <mergeCell ref="B27:C27"/>
    <mergeCell ref="B28:C28"/>
    <mergeCell ref="B29:C29"/>
    <mergeCell ref="B30:C30"/>
    <mergeCell ref="B31:C31"/>
    <mergeCell ref="B11:C11"/>
    <mergeCell ref="B21:C21"/>
    <mergeCell ref="B22:C22"/>
    <mergeCell ref="B23:C23"/>
    <mergeCell ref="B24:C24"/>
    <mergeCell ref="B12:C12"/>
    <mergeCell ref="B13:C13"/>
    <mergeCell ref="B14:C14"/>
    <mergeCell ref="B15:C15"/>
    <mergeCell ref="B16:C16"/>
    <mergeCell ref="B17:C17"/>
    <mergeCell ref="B51:C51"/>
    <mergeCell ref="E106:F106"/>
    <mergeCell ref="G106:H106"/>
    <mergeCell ref="I106:J106"/>
    <mergeCell ref="B49:C49"/>
    <mergeCell ref="B50:C50"/>
    <mergeCell ref="C95:D95"/>
    <mergeCell ref="G95:H95"/>
    <mergeCell ref="F95:F96"/>
    <mergeCell ref="B95:B96"/>
    <mergeCell ref="K106:L106"/>
    <mergeCell ref="C106:D106"/>
    <mergeCell ref="C114:D114"/>
    <mergeCell ref="E114:F114"/>
    <mergeCell ref="G114:H114"/>
    <mergeCell ref="I114:J114"/>
    <mergeCell ref="K114:L114"/>
    <mergeCell ref="B317:R317"/>
    <mergeCell ref="B311:L311"/>
    <mergeCell ref="B321:L321"/>
    <mergeCell ref="B324:L324"/>
    <mergeCell ref="B238:C238"/>
    <mergeCell ref="B239:C239"/>
    <mergeCell ref="B240:C240"/>
    <mergeCell ref="B241:C241"/>
    <mergeCell ref="B247:C247"/>
    <mergeCell ref="B246:C246"/>
  </mergeCells>
  <hyperlinks>
    <hyperlink ref="H66" location="BB_03" display="Recall [3]" xr:uid="{00000000-0004-0000-0100-000000000000}"/>
    <hyperlink ref="B236" location="_ftn5" display="Engagement [5]" xr:uid="{00000000-0004-0000-0100-000001000000}"/>
    <hyperlink ref="E261" location="BB_08" display="Pallets [8]" xr:uid="{00000000-0004-0000-0100-000002000000}"/>
    <hyperlink ref="E263" location="BB_09" display="Containers[9]" xr:uid="{00000000-0004-0000-0100-000003000000}"/>
    <hyperlink ref="B295" location="BB_10" display="FY14 [10]" xr:uid="{00000000-0004-0000-0100-000004000000}"/>
    <hyperlink ref="B5" r:id="rId1" xr:uid="{00000000-0004-0000-0100-000005000000}"/>
    <hyperlink ref="B261" location="BB_08" display="Pallets [8]" xr:uid="{00000000-0004-0000-0100-000006000000}"/>
    <hyperlink ref="F11" location="BB_22" display="FY16 [22]" xr:uid="{00000000-0004-0000-0100-000007000000}"/>
    <hyperlink ref="I19" location="BB_19" display="CO2-e offset (tonnes) - carbon neutral products [19]" xr:uid="{00000000-0004-0000-0100-000008000000}"/>
    <hyperlink ref="B55" location="BB_12" display="Employee stats [12]" xr:uid="{00000000-0004-0000-0100-000009000000}"/>
    <hyperlink ref="E66" location="BB_16" display="Corporate [16]" xr:uid="{00000000-0004-0000-0100-00000A000000}"/>
    <hyperlink ref="G171" location="BB_11" display="0.87: 1.00 [11]" xr:uid="{00000000-0004-0000-0100-00000B000000}"/>
    <hyperlink ref="G172" location="BB_11" display="0.87: 1.00 [11]" xr:uid="{00000000-0004-0000-0100-00000C000000}"/>
    <hyperlink ref="G173" location="BB_11" display="1.10: 1.00 [11]" xr:uid="{00000000-0004-0000-0100-00000D000000}"/>
    <hyperlink ref="F177" location="BB_17" display="FY15 [17]" xr:uid="{00000000-0004-0000-0100-00000E000000}"/>
    <hyperlink ref="B205" location="BB_01" display="Corporate [1]" xr:uid="{00000000-0004-0000-0100-00000F000000}"/>
    <hyperlink ref="F251" location="BB_13" display="FY15 [13]" xr:uid="{00000000-0004-0000-0100-000010000000}"/>
    <hyperlink ref="B294" location="BB_18" display="FY15 [18]" xr:uid="{00000000-0004-0000-0100-000011000000}"/>
  </hyperlinks>
  <pageMargins left="0.74803149606299213" right="0.74803149606299213" top="0.98425196850393704" bottom="0.98425196850393704" header="0.51181102362204722" footer="0.51181102362204722"/>
  <pageSetup paperSize="9" scale="54" fitToHeight="0" orientation="portrait" r:id="rId2"/>
  <rowBreaks count="5" manualBreakCount="5">
    <brk id="68" max="11" man="1"/>
    <brk id="119" max="11" man="1"/>
    <brk id="167" max="11" man="1"/>
    <brk id="225" max="11" man="1"/>
    <brk id="266" max="11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397"/>
  <sheetViews>
    <sheetView showGridLines="0" zoomScaleNormal="100" zoomScalePageLayoutView="150" workbookViewId="0">
      <selection activeCell="H4" sqref="H4"/>
    </sheetView>
  </sheetViews>
  <sheetFormatPr defaultColWidth="11" defaultRowHeight="15.75" x14ac:dyDescent="0.25"/>
  <cols>
    <col min="1" max="1" width="3.125" customWidth="1"/>
    <col min="2" max="2" width="18.5" customWidth="1"/>
    <col min="3" max="3" width="18.125" bestFit="1" customWidth="1"/>
    <col min="4" max="4" width="12" customWidth="1"/>
    <col min="5" max="5" width="11.5" customWidth="1"/>
    <col min="6" max="6" width="15.5" customWidth="1"/>
    <col min="7" max="7" width="13" customWidth="1"/>
  </cols>
  <sheetData>
    <row r="1" spans="1:12" x14ac:dyDescent="0.25">
      <c r="A1" s="21"/>
      <c r="B1" s="20" t="s">
        <v>0</v>
      </c>
      <c r="C1" s="20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21"/>
      <c r="B2" s="20" t="s">
        <v>397</v>
      </c>
      <c r="C2" s="20"/>
      <c r="D2" s="21"/>
      <c r="E2" s="21"/>
      <c r="F2" s="21"/>
      <c r="G2" s="21"/>
      <c r="H2" s="21"/>
      <c r="I2" s="21"/>
      <c r="J2" s="21"/>
      <c r="K2" s="21"/>
      <c r="L2" s="21"/>
    </row>
    <row r="3" spans="1:12" ht="8.25" customHeight="1" x14ac:dyDescent="0.25">
      <c r="A3" s="21"/>
      <c r="B3" s="20"/>
      <c r="C3" s="20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26.25" x14ac:dyDescent="0.3">
      <c r="B5" s="58" t="s">
        <v>251</v>
      </c>
      <c r="C5" s="58"/>
      <c r="D5" s="59"/>
      <c r="E5" s="59"/>
      <c r="F5" s="59"/>
      <c r="G5" s="59"/>
      <c r="H5" s="59"/>
      <c r="I5" s="59"/>
      <c r="J5" s="56"/>
      <c r="K5" s="56"/>
      <c r="L5" s="57"/>
    </row>
    <row r="6" spans="1:12" ht="17.25" x14ac:dyDescent="0.3">
      <c r="B6" s="60" t="s">
        <v>3</v>
      </c>
      <c r="C6" s="60"/>
      <c r="D6" s="59"/>
      <c r="E6" s="59"/>
      <c r="F6" s="59"/>
      <c r="G6" s="59"/>
      <c r="H6" s="59"/>
      <c r="I6" s="59"/>
      <c r="J6" s="56"/>
      <c r="K6" s="56"/>
      <c r="L6" s="57"/>
    </row>
    <row r="7" spans="1:12" ht="17.25" x14ac:dyDescent="0.3">
      <c r="B7" s="61"/>
      <c r="C7" s="61"/>
      <c r="D7" s="59"/>
      <c r="E7" s="59"/>
      <c r="F7" s="59"/>
      <c r="G7" s="59"/>
      <c r="H7" s="59"/>
      <c r="I7" s="59"/>
      <c r="J7" s="56"/>
      <c r="K7" s="56"/>
      <c r="L7" s="57"/>
    </row>
    <row r="8" spans="1:12" ht="25.5" x14ac:dyDescent="0.3">
      <c r="B8" s="62" t="s">
        <v>252</v>
      </c>
      <c r="C8" s="61"/>
      <c r="D8" s="59"/>
      <c r="E8" s="59"/>
      <c r="F8" s="59"/>
      <c r="G8" s="59"/>
      <c r="H8" s="59"/>
      <c r="I8" s="59"/>
      <c r="J8" s="56"/>
      <c r="K8" s="56"/>
      <c r="L8" s="57"/>
    </row>
    <row r="9" spans="1:12" ht="6" customHeight="1" x14ac:dyDescent="0.3">
      <c r="B9" s="63"/>
      <c r="C9" s="63"/>
      <c r="D9" s="64"/>
      <c r="E9" s="64"/>
      <c r="F9" s="64"/>
      <c r="G9" s="64"/>
      <c r="H9" s="64"/>
      <c r="I9" s="64"/>
      <c r="J9" s="1"/>
      <c r="K9" s="1"/>
    </row>
    <row r="10" spans="1:12" ht="25.5" x14ac:dyDescent="0.3">
      <c r="B10" s="62" t="s">
        <v>253</v>
      </c>
      <c r="C10" s="62"/>
      <c r="D10" s="59"/>
      <c r="E10" s="59"/>
      <c r="F10" s="59"/>
      <c r="G10" s="59"/>
      <c r="H10" s="59"/>
      <c r="I10" s="59"/>
      <c r="J10" s="56"/>
      <c r="K10" s="56"/>
      <c r="L10" s="57"/>
    </row>
    <row r="11" spans="1:12" ht="17.25" x14ac:dyDescent="0.3">
      <c r="B11" s="65" t="s">
        <v>254</v>
      </c>
      <c r="C11" s="65"/>
      <c r="D11" s="59"/>
      <c r="E11" s="59"/>
      <c r="F11" s="59"/>
      <c r="G11" s="59"/>
      <c r="H11" s="59"/>
      <c r="I11" s="59"/>
      <c r="J11" s="56"/>
      <c r="K11" s="56"/>
      <c r="L11" s="57"/>
    </row>
    <row r="12" spans="1:12" ht="5.25" customHeight="1" thickBot="1" x14ac:dyDescent="0.35">
      <c r="B12" s="63"/>
      <c r="C12" s="63"/>
      <c r="D12" s="64"/>
      <c r="E12" s="31"/>
      <c r="F12" s="64"/>
      <c r="G12" s="64"/>
      <c r="H12" s="64"/>
      <c r="I12" s="64"/>
      <c r="J12" s="1"/>
      <c r="K12" s="1"/>
    </row>
    <row r="13" spans="1:12" x14ac:dyDescent="0.25">
      <c r="B13" s="66"/>
      <c r="C13" s="67" t="s">
        <v>7</v>
      </c>
      <c r="D13" s="67" t="s">
        <v>8</v>
      </c>
      <c r="E13" s="67" t="s">
        <v>26</v>
      </c>
      <c r="F13" s="67" t="s">
        <v>10</v>
      </c>
      <c r="G13" s="67" t="s">
        <v>27</v>
      </c>
      <c r="H13" s="67" t="s">
        <v>28</v>
      </c>
      <c r="I13" s="67" t="s">
        <v>211</v>
      </c>
    </row>
    <row r="14" spans="1:12" x14ac:dyDescent="0.25">
      <c r="B14" s="68" t="s">
        <v>45</v>
      </c>
      <c r="C14" s="69">
        <v>1513415</v>
      </c>
      <c r="D14" s="69">
        <v>1415860</v>
      </c>
      <c r="E14" s="69">
        <v>1440576</v>
      </c>
      <c r="F14" s="69">
        <v>1199175</v>
      </c>
      <c r="G14" s="69">
        <v>1101620</v>
      </c>
      <c r="H14" s="69">
        <v>1043150</v>
      </c>
      <c r="I14" s="69">
        <v>880288</v>
      </c>
    </row>
    <row r="15" spans="1:12" x14ac:dyDescent="0.25">
      <c r="B15" s="68" t="s">
        <v>46</v>
      </c>
      <c r="C15" s="69">
        <v>1401240</v>
      </c>
      <c r="D15" s="69">
        <v>1114910.2844192286</v>
      </c>
      <c r="E15" s="69">
        <v>1124245</v>
      </c>
      <c r="F15" s="69">
        <v>927654</v>
      </c>
      <c r="G15" s="69">
        <v>917822</v>
      </c>
      <c r="H15" s="69">
        <v>765808</v>
      </c>
      <c r="I15" s="69">
        <v>582808</v>
      </c>
    </row>
    <row r="16" spans="1:12" x14ac:dyDescent="0.25">
      <c r="B16" s="68" t="s">
        <v>47</v>
      </c>
      <c r="C16" s="69">
        <v>143227</v>
      </c>
      <c r="D16" s="69">
        <v>161399</v>
      </c>
      <c r="E16" s="69">
        <v>181302</v>
      </c>
      <c r="F16" s="69">
        <v>202944</v>
      </c>
      <c r="G16" s="69">
        <v>196219</v>
      </c>
      <c r="H16" s="69">
        <v>167520</v>
      </c>
      <c r="I16" s="69">
        <v>181637</v>
      </c>
    </row>
    <row r="17" spans="2:13" x14ac:dyDescent="0.25">
      <c r="B17" s="70" t="s">
        <v>255</v>
      </c>
      <c r="C17" s="72">
        <f>SUM(C14:C16)</f>
        <v>3057882</v>
      </c>
      <c r="D17" s="72">
        <f>SUM(D14:D16)</f>
        <v>2692169.2844192283</v>
      </c>
      <c r="E17" s="72">
        <v>2746123</v>
      </c>
      <c r="F17" s="72">
        <v>2329773</v>
      </c>
      <c r="G17" s="72">
        <v>2215661</v>
      </c>
      <c r="H17" s="72">
        <v>1976478</v>
      </c>
      <c r="I17" s="72">
        <v>1644733</v>
      </c>
    </row>
    <row r="18" spans="2:13" ht="17.25" x14ac:dyDescent="0.3">
      <c r="B18" s="63"/>
      <c r="C18" s="73"/>
      <c r="D18" s="64"/>
      <c r="E18" s="64"/>
      <c r="F18" s="64"/>
      <c r="G18" s="64"/>
      <c r="H18" s="64"/>
      <c r="I18" s="64"/>
      <c r="J18" s="1"/>
      <c r="K18" s="1"/>
    </row>
    <row r="19" spans="2:13" ht="17.25" x14ac:dyDescent="0.3">
      <c r="B19" s="65" t="s">
        <v>256</v>
      </c>
      <c r="C19" s="65"/>
      <c r="D19" s="59"/>
      <c r="E19" s="59"/>
      <c r="F19" s="59"/>
      <c r="G19" s="59"/>
      <c r="H19" s="59"/>
      <c r="I19" s="59"/>
      <c r="J19" s="59"/>
      <c r="K19" s="59"/>
      <c r="L19" s="77"/>
    </row>
    <row r="20" spans="2:13" ht="6" customHeight="1" thickBot="1" x14ac:dyDescent="0.35">
      <c r="B20" s="63"/>
      <c r="C20" s="63"/>
      <c r="D20" s="64"/>
      <c r="E20" s="31"/>
      <c r="F20" s="64"/>
      <c r="G20" s="64"/>
      <c r="H20" s="64"/>
      <c r="I20" s="64"/>
      <c r="J20" s="64"/>
      <c r="K20" s="64"/>
      <c r="L20" s="31"/>
    </row>
    <row r="21" spans="2:13" ht="42.75" x14ac:dyDescent="0.3">
      <c r="B21" s="66" t="s">
        <v>147</v>
      </c>
      <c r="C21" s="67"/>
      <c r="D21" s="75" t="s">
        <v>257</v>
      </c>
      <c r="E21" s="75" t="s">
        <v>258</v>
      </c>
      <c r="F21" s="75" t="s">
        <v>259</v>
      </c>
      <c r="G21" s="38"/>
      <c r="H21" s="38"/>
      <c r="I21" s="38"/>
      <c r="J21" s="64"/>
      <c r="K21" s="64"/>
      <c r="L21" s="64"/>
      <c r="M21" s="1"/>
    </row>
    <row r="22" spans="2:13" ht="17.25" x14ac:dyDescent="0.3">
      <c r="B22" s="78" t="s">
        <v>7</v>
      </c>
      <c r="C22" s="79" t="s">
        <v>255</v>
      </c>
      <c r="D22" s="88">
        <v>0.66100000000000003</v>
      </c>
      <c r="E22" s="88">
        <v>0.99399999999999999</v>
      </c>
      <c r="F22" s="88">
        <v>1.2E-2</v>
      </c>
      <c r="G22" s="40"/>
      <c r="H22" s="40"/>
      <c r="I22" s="64"/>
      <c r="J22" s="64"/>
      <c r="K22" s="64"/>
      <c r="L22" s="64"/>
    </row>
    <row r="23" spans="2:13" ht="17.25" x14ac:dyDescent="0.3">
      <c r="B23" s="79"/>
      <c r="C23" s="68" t="s">
        <v>45</v>
      </c>
      <c r="D23" s="84">
        <v>0.34300000000000003</v>
      </c>
      <c r="E23" s="84">
        <v>0.99</v>
      </c>
      <c r="F23" s="84">
        <v>0.01</v>
      </c>
      <c r="G23" s="31"/>
      <c r="H23" s="31"/>
      <c r="I23" s="31"/>
      <c r="J23" s="64"/>
      <c r="K23" s="64"/>
      <c r="L23" s="64"/>
      <c r="M23" s="1"/>
    </row>
    <row r="24" spans="2:13" ht="17.25" x14ac:dyDescent="0.3">
      <c r="B24" s="79"/>
      <c r="C24" s="68" t="s">
        <v>46</v>
      </c>
      <c r="D24" s="84">
        <v>0.97399999999999998</v>
      </c>
      <c r="E24" s="84">
        <v>0.998</v>
      </c>
      <c r="F24" s="84">
        <v>2E-3</v>
      </c>
      <c r="G24" s="31"/>
      <c r="H24" s="31"/>
      <c r="I24" s="31"/>
      <c r="J24" s="64"/>
      <c r="K24" s="64"/>
      <c r="L24" s="64"/>
      <c r="M24" s="1"/>
    </row>
    <row r="25" spans="2:13" ht="17.25" x14ac:dyDescent="0.3">
      <c r="B25" s="68"/>
      <c r="C25" s="81" t="s">
        <v>47</v>
      </c>
      <c r="D25" s="84">
        <v>0.96399999999999997</v>
      </c>
      <c r="E25" s="84">
        <v>1</v>
      </c>
      <c r="F25" s="84">
        <v>0</v>
      </c>
      <c r="G25" s="31"/>
      <c r="H25" s="31"/>
      <c r="I25" s="31"/>
      <c r="J25" s="64"/>
      <c r="K25" s="64"/>
      <c r="L25" s="64"/>
      <c r="M25" s="1"/>
    </row>
    <row r="26" spans="2:13" ht="17.25" x14ac:dyDescent="0.3">
      <c r="B26" s="82" t="s">
        <v>8</v>
      </c>
      <c r="C26" s="82" t="s">
        <v>255</v>
      </c>
      <c r="D26" s="83">
        <v>0.56999999999999995</v>
      </c>
      <c r="E26" s="83">
        <v>0.42</v>
      </c>
      <c r="F26" s="83">
        <v>0.01</v>
      </c>
      <c r="G26" s="40"/>
      <c r="H26" s="40"/>
      <c r="I26" s="64"/>
      <c r="J26" s="64"/>
      <c r="K26" s="64"/>
      <c r="L26" s="64"/>
    </row>
    <row r="27" spans="2:13" ht="17.25" x14ac:dyDescent="0.3">
      <c r="B27" s="79"/>
      <c r="C27" s="68" t="s">
        <v>45</v>
      </c>
      <c r="D27" s="84">
        <v>0.21</v>
      </c>
      <c r="E27" s="84">
        <v>0.79</v>
      </c>
      <c r="F27" s="84">
        <v>0.01</v>
      </c>
      <c r="G27" s="31"/>
      <c r="H27" s="31"/>
      <c r="I27" s="31"/>
      <c r="J27" s="64"/>
      <c r="K27" s="64"/>
      <c r="L27" s="64"/>
      <c r="M27" s="1"/>
    </row>
    <row r="28" spans="2:13" ht="17.25" x14ac:dyDescent="0.3">
      <c r="B28" s="79"/>
      <c r="C28" s="68" t="s">
        <v>46</v>
      </c>
      <c r="D28" s="84">
        <v>0.97</v>
      </c>
      <c r="E28" s="84">
        <v>0.02</v>
      </c>
      <c r="F28" s="84">
        <v>0</v>
      </c>
      <c r="G28" s="31"/>
      <c r="H28" s="31"/>
      <c r="I28" s="31"/>
      <c r="J28" s="64"/>
      <c r="K28" s="64"/>
      <c r="L28" s="64"/>
      <c r="M28" s="1"/>
    </row>
    <row r="29" spans="2:13" ht="18" thickBot="1" x14ac:dyDescent="0.35">
      <c r="B29" s="85"/>
      <c r="C29" s="86" t="s">
        <v>47</v>
      </c>
      <c r="D29" s="87">
        <v>0.92</v>
      </c>
      <c r="E29" s="87">
        <v>0</v>
      </c>
      <c r="F29" s="87">
        <v>0.08</v>
      </c>
      <c r="G29" s="31"/>
      <c r="H29" s="31"/>
      <c r="I29" s="31"/>
      <c r="J29" s="64"/>
      <c r="K29" s="64"/>
      <c r="L29" s="64"/>
      <c r="M29" s="1"/>
    </row>
    <row r="30" spans="2:13" ht="17.25" x14ac:dyDescent="0.3">
      <c r="B30" s="79" t="s">
        <v>26</v>
      </c>
      <c r="C30" s="79" t="s">
        <v>255</v>
      </c>
      <c r="D30" s="88">
        <f>D51/E17</f>
        <v>0.48551430507664806</v>
      </c>
      <c r="E30" s="88">
        <f>E51/E17</f>
        <v>0.48754953802142148</v>
      </c>
      <c r="F30" s="88">
        <f>F51/E17</f>
        <v>2.6936156901930467E-2</v>
      </c>
      <c r="G30" s="40"/>
      <c r="H30" s="40"/>
      <c r="I30" s="64"/>
      <c r="J30" s="64"/>
      <c r="K30" s="64"/>
      <c r="L30" s="64"/>
    </row>
    <row r="31" spans="2:13" ht="17.25" x14ac:dyDescent="0.3">
      <c r="B31" s="79"/>
      <c r="C31" s="68" t="s">
        <v>45</v>
      </c>
      <c r="D31" s="84">
        <f>D52/E14</f>
        <v>8.4348205162379494E-2</v>
      </c>
      <c r="E31" s="84">
        <f>E52/E14</f>
        <v>0.89514680239015509</v>
      </c>
      <c r="F31" s="84">
        <f>F52/E14</f>
        <v>2.0504992447465457E-2</v>
      </c>
      <c r="G31" s="31"/>
      <c r="H31" s="31"/>
      <c r="I31" s="31"/>
      <c r="J31" s="64"/>
      <c r="K31" s="64"/>
      <c r="L31" s="64"/>
      <c r="M31" s="1"/>
    </row>
    <row r="32" spans="2:13" ht="17.25" x14ac:dyDescent="0.3">
      <c r="B32" s="79"/>
      <c r="C32" s="68" t="s">
        <v>46</v>
      </c>
      <c r="D32" s="84">
        <f>D53/E15</f>
        <v>0.96575479544049558</v>
      </c>
      <c r="E32" s="84">
        <f>E53/E15</f>
        <v>3.2468901351573723E-2</v>
      </c>
      <c r="F32" s="84">
        <f>F53/E15</f>
        <v>1.7763032079306557E-3</v>
      </c>
      <c r="G32" s="31"/>
      <c r="H32" s="31"/>
      <c r="I32" s="31"/>
      <c r="J32" s="64"/>
      <c r="K32" s="64"/>
      <c r="L32" s="64"/>
      <c r="M32" s="1"/>
    </row>
    <row r="33" spans="2:13" ht="18" thickBot="1" x14ac:dyDescent="0.35">
      <c r="B33" s="85"/>
      <c r="C33" s="86" t="s">
        <v>47</v>
      </c>
      <c r="D33" s="87">
        <f>D54/E16</f>
        <v>0.69512195121951215</v>
      </c>
      <c r="E33" s="87">
        <f>E54/E16</f>
        <v>7.0826576651112513E-2</v>
      </c>
      <c r="F33" s="87">
        <f>F54/E16</f>
        <v>0.2340514721293753</v>
      </c>
      <c r="G33" s="31"/>
      <c r="H33" s="31"/>
      <c r="I33" s="31"/>
      <c r="J33" s="64"/>
      <c r="K33" s="64"/>
      <c r="L33" s="64"/>
      <c r="M33" s="1"/>
    </row>
    <row r="34" spans="2:13" ht="17.25" x14ac:dyDescent="0.3">
      <c r="B34" s="79" t="s">
        <v>10</v>
      </c>
      <c r="C34" s="79" t="s">
        <v>255</v>
      </c>
      <c r="D34" s="88">
        <v>0.43</v>
      </c>
      <c r="E34" s="88">
        <v>0.54</v>
      </c>
      <c r="F34" s="88">
        <v>0.03</v>
      </c>
      <c r="G34" s="31"/>
      <c r="H34" s="31"/>
      <c r="I34" s="89"/>
      <c r="J34" s="64"/>
      <c r="K34" s="64"/>
      <c r="L34" s="64"/>
    </row>
    <row r="35" spans="2:13" ht="17.25" x14ac:dyDescent="0.3">
      <c r="B35" s="79"/>
      <c r="C35" s="68" t="s">
        <v>45</v>
      </c>
      <c r="D35" s="84">
        <v>0.01</v>
      </c>
      <c r="E35" s="84">
        <v>0.97</v>
      </c>
      <c r="F35" s="84">
        <v>0.02</v>
      </c>
      <c r="G35" s="90"/>
      <c r="H35" s="90"/>
      <c r="I35" s="90"/>
      <c r="J35" s="89"/>
      <c r="K35" s="64"/>
      <c r="L35" s="64"/>
      <c r="M35" s="1"/>
    </row>
    <row r="36" spans="2:13" ht="17.25" x14ac:dyDescent="0.3">
      <c r="B36" s="79"/>
      <c r="C36" s="68" t="s">
        <v>46</v>
      </c>
      <c r="D36" s="84">
        <v>0.95</v>
      </c>
      <c r="E36" s="84">
        <v>0.05</v>
      </c>
      <c r="F36" s="84">
        <v>2E-3</v>
      </c>
      <c r="G36" s="90"/>
      <c r="H36" s="90"/>
      <c r="I36" s="90"/>
      <c r="J36" s="89"/>
      <c r="K36" s="64"/>
      <c r="L36" s="64"/>
      <c r="M36" s="1"/>
    </row>
    <row r="37" spans="2:13" ht="18" thickBot="1" x14ac:dyDescent="0.35">
      <c r="B37" s="85"/>
      <c r="C37" s="86" t="s">
        <v>47</v>
      </c>
      <c r="D37" s="87">
        <v>0.51</v>
      </c>
      <c r="E37" s="87">
        <v>0.28999999999999998</v>
      </c>
      <c r="F37" s="87">
        <v>0.2</v>
      </c>
      <c r="G37" s="90"/>
      <c r="H37" s="90"/>
      <c r="I37" s="90"/>
      <c r="J37" s="89"/>
      <c r="K37" s="64"/>
      <c r="L37" s="64"/>
      <c r="M37" s="1"/>
    </row>
    <row r="38" spans="2:13" ht="17.25" x14ac:dyDescent="0.3">
      <c r="B38" s="31"/>
      <c r="C38" s="31"/>
      <c r="D38" s="31"/>
      <c r="E38" s="31"/>
      <c r="F38" s="31"/>
      <c r="G38" s="90"/>
      <c r="H38" s="90"/>
      <c r="I38" s="90"/>
      <c r="J38" s="89"/>
      <c r="K38" s="64"/>
      <c r="L38" s="64"/>
      <c r="M38" s="1"/>
    </row>
    <row r="39" spans="2:13" ht="17.25" x14ac:dyDescent="0.3">
      <c r="B39" s="91"/>
      <c r="C39" s="90"/>
      <c r="D39" s="90"/>
      <c r="E39" s="90"/>
      <c r="F39" s="90"/>
      <c r="G39" s="90"/>
      <c r="H39" s="90"/>
      <c r="I39" s="89"/>
      <c r="J39" s="64"/>
      <c r="K39" s="64"/>
      <c r="L39" s="64"/>
    </row>
    <row r="40" spans="2:13" ht="17.25" x14ac:dyDescent="0.3">
      <c r="B40" s="65" t="s">
        <v>260</v>
      </c>
      <c r="C40" s="65"/>
      <c r="D40" s="59"/>
      <c r="E40" s="59"/>
      <c r="F40" s="59"/>
      <c r="G40" s="59"/>
      <c r="H40" s="59"/>
      <c r="I40" s="59"/>
      <c r="J40" s="59"/>
      <c r="K40" s="59"/>
      <c r="L40" s="77"/>
    </row>
    <row r="41" spans="2:13" ht="6" customHeight="1" thickBot="1" x14ac:dyDescent="0.35">
      <c r="B41" s="63"/>
      <c r="C41" s="63"/>
      <c r="D41" s="64"/>
      <c r="E41" s="31"/>
      <c r="F41" s="64"/>
      <c r="G41" s="64"/>
      <c r="H41" s="64"/>
      <c r="I41" s="64"/>
      <c r="J41" s="64"/>
      <c r="K41" s="64"/>
      <c r="L41" s="31"/>
    </row>
    <row r="42" spans="2:13" ht="71.25" x14ac:dyDescent="0.3">
      <c r="B42" s="66" t="s">
        <v>147</v>
      </c>
      <c r="C42" s="67"/>
      <c r="D42" s="75" t="s">
        <v>261</v>
      </c>
      <c r="E42" s="75" t="s">
        <v>262</v>
      </c>
      <c r="F42" s="75" t="s">
        <v>263</v>
      </c>
      <c r="G42" s="92"/>
      <c r="H42" s="92"/>
      <c r="I42" s="92"/>
      <c r="J42" s="31"/>
      <c r="K42" s="31"/>
      <c r="L42" s="31"/>
    </row>
    <row r="43" spans="2:13" ht="17.25" x14ac:dyDescent="0.3">
      <c r="B43" s="79" t="s">
        <v>7</v>
      </c>
      <c r="C43" s="79" t="s">
        <v>255</v>
      </c>
      <c r="D43" s="120">
        <f>SUM(D44:D46)</f>
        <v>2022393</v>
      </c>
      <c r="E43" s="120">
        <f>SUM(E44:E46)</f>
        <v>1016946</v>
      </c>
      <c r="F43" s="120">
        <f>SUM(F44:F46)</f>
        <v>18543</v>
      </c>
      <c r="G43" s="89"/>
      <c r="H43" s="89"/>
      <c r="I43" s="89"/>
      <c r="J43" s="64"/>
      <c r="K43" s="64"/>
      <c r="L43" s="31"/>
    </row>
    <row r="44" spans="2:13" ht="17.25" x14ac:dyDescent="0.3">
      <c r="B44" s="79"/>
      <c r="C44" s="68" t="s">
        <v>45</v>
      </c>
      <c r="D44" s="69">
        <v>519765</v>
      </c>
      <c r="E44" s="69">
        <v>977812</v>
      </c>
      <c r="F44" s="69">
        <v>15838</v>
      </c>
      <c r="G44" s="412"/>
      <c r="H44" s="412"/>
      <c r="I44" s="412"/>
      <c r="J44" s="64"/>
      <c r="K44" s="64"/>
      <c r="L44" s="31"/>
    </row>
    <row r="45" spans="2:13" ht="17.25" x14ac:dyDescent="0.3">
      <c r="B45" s="79"/>
      <c r="C45" s="68" t="s">
        <v>46</v>
      </c>
      <c r="D45" s="69">
        <v>1364505</v>
      </c>
      <c r="E45" s="69">
        <v>34030</v>
      </c>
      <c r="F45" s="69">
        <v>2705</v>
      </c>
      <c r="G45" s="412"/>
      <c r="H45" s="412"/>
      <c r="I45" s="412"/>
      <c r="J45" s="64"/>
      <c r="K45" s="64"/>
      <c r="L45" s="31"/>
    </row>
    <row r="46" spans="2:13" ht="17.25" x14ac:dyDescent="0.3">
      <c r="B46" s="85"/>
      <c r="C46" s="85" t="s">
        <v>47</v>
      </c>
      <c r="D46" s="121">
        <v>138123</v>
      </c>
      <c r="E46" s="121">
        <v>5104</v>
      </c>
      <c r="F46" s="121" t="s">
        <v>19</v>
      </c>
      <c r="G46" s="412"/>
      <c r="H46" s="412"/>
      <c r="I46" s="412"/>
      <c r="J46" s="64"/>
      <c r="K46" s="64"/>
      <c r="L46" s="31"/>
    </row>
    <row r="47" spans="2:13" ht="17.25" x14ac:dyDescent="0.3">
      <c r="B47" s="79" t="s">
        <v>8</v>
      </c>
      <c r="C47" s="79" t="s">
        <v>255</v>
      </c>
      <c r="D47" s="120">
        <f>SUM(D48:D50)</f>
        <v>1526091.8044192286</v>
      </c>
      <c r="E47" s="120">
        <f>SUM(E48:E50)</f>
        <v>1141869.48</v>
      </c>
      <c r="F47" s="120">
        <f>SUM(F48:F50)</f>
        <v>24208</v>
      </c>
      <c r="G47" s="89"/>
      <c r="H47" s="89"/>
      <c r="I47" s="89"/>
      <c r="J47" s="64"/>
      <c r="K47" s="64"/>
      <c r="L47" s="31"/>
    </row>
    <row r="48" spans="2:13" ht="17.25" x14ac:dyDescent="0.3">
      <c r="B48" s="79"/>
      <c r="C48" s="68" t="s">
        <v>45</v>
      </c>
      <c r="D48" s="69">
        <v>291469.51999999996</v>
      </c>
      <c r="E48" s="69">
        <v>1114744.48</v>
      </c>
      <c r="F48" s="69">
        <v>9646</v>
      </c>
      <c r="G48" s="412"/>
      <c r="H48" s="412"/>
      <c r="I48" s="412"/>
      <c r="J48" s="64"/>
      <c r="K48" s="64"/>
      <c r="L48" s="31"/>
    </row>
    <row r="49" spans="2:12" ht="17.25" x14ac:dyDescent="0.3">
      <c r="B49" s="79"/>
      <c r="C49" s="68" t="s">
        <v>46</v>
      </c>
      <c r="D49" s="69">
        <v>1085729.2844192286</v>
      </c>
      <c r="E49" s="69">
        <v>27125</v>
      </c>
      <c r="F49" s="69">
        <v>2056</v>
      </c>
      <c r="G49" s="412"/>
      <c r="H49" s="412"/>
      <c r="I49" s="412"/>
      <c r="J49" s="64"/>
      <c r="K49" s="64"/>
      <c r="L49" s="31"/>
    </row>
    <row r="50" spans="2:12" ht="18" thickBot="1" x14ac:dyDescent="0.35">
      <c r="B50" s="85"/>
      <c r="C50" s="85" t="s">
        <v>47</v>
      </c>
      <c r="D50" s="121">
        <v>148893</v>
      </c>
      <c r="E50" s="121">
        <v>0</v>
      </c>
      <c r="F50" s="121">
        <v>12506</v>
      </c>
      <c r="G50" s="412"/>
      <c r="H50" s="412"/>
      <c r="I50" s="412"/>
      <c r="J50" s="64"/>
      <c r="K50" s="64"/>
      <c r="L50" s="31"/>
    </row>
    <row r="51" spans="2:12" ht="17.25" x14ac:dyDescent="0.3">
      <c r="B51" s="82" t="s">
        <v>26</v>
      </c>
      <c r="C51" s="82" t="s">
        <v>255</v>
      </c>
      <c r="D51" s="123">
        <v>1333282</v>
      </c>
      <c r="E51" s="123">
        <v>1338871</v>
      </c>
      <c r="F51" s="123">
        <v>73970</v>
      </c>
      <c r="G51" s="89"/>
      <c r="H51" s="89"/>
      <c r="I51" s="89"/>
      <c r="J51" s="64"/>
      <c r="K51" s="64"/>
      <c r="L51" s="31"/>
    </row>
    <row r="52" spans="2:12" ht="17.25" x14ac:dyDescent="0.3">
      <c r="B52" s="79"/>
      <c r="C52" s="68" t="s">
        <v>45</v>
      </c>
      <c r="D52" s="69">
        <v>121510</v>
      </c>
      <c r="E52" s="69">
        <v>1289527</v>
      </c>
      <c r="F52" s="69">
        <v>29539</v>
      </c>
      <c r="G52" s="412"/>
      <c r="H52" s="412"/>
      <c r="I52" s="412"/>
      <c r="J52" s="64"/>
      <c r="K52" s="64"/>
      <c r="L52" s="31"/>
    </row>
    <row r="53" spans="2:12" ht="17.25" x14ac:dyDescent="0.3">
      <c r="B53" s="79"/>
      <c r="C53" s="68" t="s">
        <v>46</v>
      </c>
      <c r="D53" s="69">
        <v>1085745</v>
      </c>
      <c r="E53" s="69">
        <v>36503</v>
      </c>
      <c r="F53" s="69">
        <v>1997</v>
      </c>
      <c r="G53" s="412"/>
      <c r="H53" s="412"/>
      <c r="I53" s="412"/>
      <c r="J53" s="64"/>
      <c r="K53" s="64"/>
      <c r="L53" s="31"/>
    </row>
    <row r="54" spans="2:12" ht="18" thickBot="1" x14ac:dyDescent="0.35">
      <c r="B54" s="85"/>
      <c r="C54" s="85" t="s">
        <v>47</v>
      </c>
      <c r="D54" s="121">
        <v>126027</v>
      </c>
      <c r="E54" s="121">
        <v>12841</v>
      </c>
      <c r="F54" s="121">
        <v>42434</v>
      </c>
      <c r="G54" s="412"/>
      <c r="H54" s="412"/>
      <c r="I54" s="412"/>
      <c r="J54" s="64"/>
      <c r="K54" s="64"/>
      <c r="L54" s="31"/>
    </row>
    <row r="55" spans="2:12" ht="17.25" x14ac:dyDescent="0.3">
      <c r="B55" s="82" t="s">
        <v>10</v>
      </c>
      <c r="C55" s="82" t="s">
        <v>255</v>
      </c>
      <c r="D55" s="123">
        <v>999686</v>
      </c>
      <c r="E55" s="123">
        <v>1257710</v>
      </c>
      <c r="F55" s="123">
        <v>72377</v>
      </c>
      <c r="G55" s="412"/>
      <c r="H55" s="412"/>
      <c r="I55" s="412"/>
      <c r="J55" s="64"/>
      <c r="K55" s="64"/>
      <c r="L55" s="31"/>
    </row>
    <row r="56" spans="2:12" ht="17.25" x14ac:dyDescent="0.3">
      <c r="B56" s="79"/>
      <c r="C56" s="68" t="s">
        <v>45</v>
      </c>
      <c r="D56" s="69">
        <v>12461</v>
      </c>
      <c r="E56" s="69">
        <v>1157657</v>
      </c>
      <c r="F56" s="69">
        <v>29057</v>
      </c>
      <c r="G56" s="412"/>
      <c r="H56" s="412"/>
      <c r="I56" s="412"/>
      <c r="J56" s="64"/>
      <c r="K56" s="64"/>
      <c r="L56" s="31"/>
    </row>
    <row r="57" spans="2:12" ht="17.25" x14ac:dyDescent="0.3">
      <c r="B57" s="79"/>
      <c r="C57" s="68" t="s">
        <v>46</v>
      </c>
      <c r="D57" s="69">
        <v>882780</v>
      </c>
      <c r="E57" s="69">
        <v>42719</v>
      </c>
      <c r="F57" s="69">
        <v>2155</v>
      </c>
      <c r="G57" s="412"/>
      <c r="H57" s="412"/>
      <c r="I57" s="412"/>
      <c r="J57" s="64"/>
      <c r="K57" s="64"/>
      <c r="L57" s="31"/>
    </row>
    <row r="58" spans="2:12" ht="18" thickBot="1" x14ac:dyDescent="0.35">
      <c r="B58" s="85"/>
      <c r="C58" s="85" t="s">
        <v>47</v>
      </c>
      <c r="D58" s="121">
        <v>104445</v>
      </c>
      <c r="E58" s="121">
        <v>57334</v>
      </c>
      <c r="F58" s="121">
        <v>41165</v>
      </c>
      <c r="G58" s="412"/>
      <c r="H58" s="412"/>
      <c r="I58" s="412"/>
      <c r="J58" s="64"/>
      <c r="K58" s="64"/>
      <c r="L58" s="31"/>
    </row>
    <row r="59" spans="2:12" ht="17.25" x14ac:dyDescent="0.3">
      <c r="B59" s="82" t="s">
        <v>27</v>
      </c>
      <c r="C59" s="82" t="s">
        <v>255</v>
      </c>
      <c r="D59" s="123">
        <v>959711</v>
      </c>
      <c r="E59" s="123">
        <v>1113418</v>
      </c>
      <c r="F59" s="123">
        <v>142532</v>
      </c>
      <c r="G59" s="412"/>
      <c r="H59" s="412"/>
      <c r="I59" s="412"/>
      <c r="J59" s="64"/>
      <c r="K59" s="64"/>
      <c r="L59" s="31"/>
    </row>
    <row r="60" spans="2:12" ht="17.25" x14ac:dyDescent="0.3">
      <c r="B60" s="79"/>
      <c r="C60" s="68" t="s">
        <v>45</v>
      </c>
      <c r="D60" s="124" t="s">
        <v>19</v>
      </c>
      <c r="E60" s="69">
        <v>1007079</v>
      </c>
      <c r="F60" s="69">
        <v>94541</v>
      </c>
      <c r="G60" s="412"/>
      <c r="H60" s="412"/>
      <c r="I60" s="412"/>
      <c r="J60" s="64"/>
      <c r="K60" s="64"/>
      <c r="L60" s="31"/>
    </row>
    <row r="61" spans="2:12" ht="17.25" x14ac:dyDescent="0.3">
      <c r="B61" s="79"/>
      <c r="C61" s="68" t="s">
        <v>46</v>
      </c>
      <c r="D61" s="69">
        <v>855528</v>
      </c>
      <c r="E61" s="69">
        <v>53957</v>
      </c>
      <c r="F61" s="69">
        <v>8337</v>
      </c>
      <c r="G61" s="412"/>
      <c r="H61" s="412"/>
      <c r="I61" s="412"/>
      <c r="J61" s="64"/>
      <c r="K61" s="64"/>
      <c r="L61" s="31"/>
    </row>
    <row r="62" spans="2:12" ht="18" thickBot="1" x14ac:dyDescent="0.35">
      <c r="B62" s="85"/>
      <c r="C62" s="85" t="s">
        <v>47</v>
      </c>
      <c r="D62" s="121">
        <v>104183</v>
      </c>
      <c r="E62" s="121">
        <v>52382</v>
      </c>
      <c r="F62" s="121">
        <v>39654</v>
      </c>
      <c r="G62" s="412"/>
      <c r="H62" s="412"/>
      <c r="I62" s="412"/>
      <c r="J62" s="64"/>
      <c r="K62" s="64"/>
      <c r="L62" s="31"/>
    </row>
    <row r="63" spans="2:12" ht="17.25" x14ac:dyDescent="0.3">
      <c r="B63" s="82" t="s">
        <v>28</v>
      </c>
      <c r="C63" s="82" t="s">
        <v>255</v>
      </c>
      <c r="D63" s="123">
        <v>653488</v>
      </c>
      <c r="E63" s="123">
        <v>1080620</v>
      </c>
      <c r="F63" s="123">
        <v>242370</v>
      </c>
      <c r="G63" s="412"/>
      <c r="H63" s="412"/>
      <c r="I63" s="412"/>
      <c r="J63" s="64"/>
      <c r="K63" s="64"/>
      <c r="L63" s="31"/>
    </row>
    <row r="64" spans="2:12" ht="17.25" x14ac:dyDescent="0.3">
      <c r="B64" s="79"/>
      <c r="C64" s="68" t="s">
        <v>45</v>
      </c>
      <c r="D64" s="124" t="s">
        <v>19</v>
      </c>
      <c r="E64" s="69">
        <v>843053</v>
      </c>
      <c r="F64" s="69">
        <v>200097</v>
      </c>
      <c r="G64" s="412"/>
      <c r="H64" s="412"/>
      <c r="I64" s="412"/>
      <c r="J64" s="64"/>
      <c r="K64" s="64"/>
      <c r="L64" s="31"/>
    </row>
    <row r="65" spans="2:12" ht="17.25" x14ac:dyDescent="0.3">
      <c r="B65" s="79"/>
      <c r="C65" s="68" t="s">
        <v>46</v>
      </c>
      <c r="D65" s="69">
        <v>653488</v>
      </c>
      <c r="E65" s="69">
        <v>103517</v>
      </c>
      <c r="F65" s="69">
        <v>8803</v>
      </c>
      <c r="G65" s="412"/>
      <c r="H65" s="412"/>
      <c r="I65" s="412"/>
      <c r="J65" s="64"/>
      <c r="K65" s="64"/>
      <c r="L65" s="31"/>
    </row>
    <row r="66" spans="2:12" ht="18" thickBot="1" x14ac:dyDescent="0.35">
      <c r="B66" s="85"/>
      <c r="C66" s="85" t="s">
        <v>47</v>
      </c>
      <c r="D66" s="125" t="s">
        <v>19</v>
      </c>
      <c r="E66" s="121">
        <v>134050</v>
      </c>
      <c r="F66" s="121">
        <v>33470</v>
      </c>
      <c r="G66" s="412"/>
      <c r="H66" s="412"/>
      <c r="I66" s="412"/>
      <c r="J66" s="64"/>
      <c r="K66" s="64"/>
      <c r="L66" s="31"/>
    </row>
    <row r="67" spans="2:12" ht="17.25" x14ac:dyDescent="0.3">
      <c r="B67" s="82" t="s">
        <v>211</v>
      </c>
      <c r="C67" s="82" t="s">
        <v>255</v>
      </c>
      <c r="D67" s="123">
        <v>471060</v>
      </c>
      <c r="E67" s="123">
        <v>911293</v>
      </c>
      <c r="F67" s="123">
        <v>262380</v>
      </c>
      <c r="G67" s="412"/>
      <c r="H67" s="412"/>
      <c r="I67" s="412"/>
      <c r="J67" s="64"/>
      <c r="K67" s="64"/>
      <c r="L67" s="31"/>
    </row>
    <row r="68" spans="2:12" ht="17.25" x14ac:dyDescent="0.3">
      <c r="B68" s="79"/>
      <c r="C68" s="68" t="s">
        <v>45</v>
      </c>
      <c r="D68" s="124" t="s">
        <v>19</v>
      </c>
      <c r="E68" s="69">
        <v>702630</v>
      </c>
      <c r="F68" s="69">
        <v>177658</v>
      </c>
      <c r="G68" s="412"/>
      <c r="H68" s="412"/>
      <c r="I68" s="412"/>
      <c r="J68" s="64"/>
      <c r="K68" s="64"/>
      <c r="L68" s="31"/>
    </row>
    <row r="69" spans="2:12" ht="17.25" x14ac:dyDescent="0.3">
      <c r="B69" s="79"/>
      <c r="C69" s="68" t="s">
        <v>46</v>
      </c>
      <c r="D69" s="69">
        <v>471060</v>
      </c>
      <c r="E69" s="69">
        <v>74633</v>
      </c>
      <c r="F69" s="69">
        <v>37115</v>
      </c>
      <c r="G69" s="412"/>
      <c r="H69" s="412"/>
      <c r="I69" s="412"/>
      <c r="J69" s="64"/>
      <c r="K69" s="64"/>
      <c r="L69" s="31"/>
    </row>
    <row r="70" spans="2:12" ht="18" thickBot="1" x14ac:dyDescent="0.35">
      <c r="B70" s="85"/>
      <c r="C70" s="85" t="s">
        <v>47</v>
      </c>
      <c r="D70" s="125" t="s">
        <v>19</v>
      </c>
      <c r="E70" s="121">
        <v>134030</v>
      </c>
      <c r="F70" s="121">
        <v>47607</v>
      </c>
      <c r="G70" s="412"/>
      <c r="H70" s="412"/>
      <c r="I70" s="412"/>
      <c r="J70" s="64"/>
      <c r="K70" s="64"/>
      <c r="L70" s="31"/>
    </row>
    <row r="71" spans="2:12" ht="17.25" x14ac:dyDescent="0.3"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31"/>
    </row>
    <row r="72" spans="2:12" ht="17.25" x14ac:dyDescent="0.3">
      <c r="B72" s="63"/>
      <c r="C72" s="63"/>
      <c r="D72" s="64"/>
      <c r="E72" s="64"/>
      <c r="F72" s="64"/>
      <c r="G72" s="64"/>
      <c r="H72" s="64"/>
      <c r="I72" s="64"/>
      <c r="J72" s="64"/>
      <c r="K72" s="64"/>
      <c r="L72" s="31"/>
    </row>
    <row r="73" spans="2:12" ht="17.25" x14ac:dyDescent="0.3">
      <c r="B73" s="65" t="s">
        <v>264</v>
      </c>
      <c r="C73" s="65"/>
      <c r="D73" s="59"/>
      <c r="E73" s="59"/>
      <c r="F73" s="59"/>
      <c r="G73" s="59"/>
      <c r="H73" s="59"/>
      <c r="I73" s="59"/>
      <c r="J73" s="59"/>
      <c r="K73" s="59"/>
      <c r="L73" s="77"/>
    </row>
    <row r="74" spans="2:12" ht="6" customHeight="1" thickBot="1" x14ac:dyDescent="0.35">
      <c r="B74" s="63"/>
      <c r="C74" s="63"/>
      <c r="D74" s="64"/>
      <c r="E74" s="31"/>
      <c r="F74" s="64"/>
      <c r="G74" s="64"/>
      <c r="H74" s="64"/>
      <c r="I74" s="64"/>
      <c r="J74" s="64"/>
      <c r="K74" s="64"/>
      <c r="L74" s="31"/>
    </row>
    <row r="75" spans="2:12" ht="17.25" x14ac:dyDescent="0.3">
      <c r="B75" s="67"/>
      <c r="C75" s="67" t="s">
        <v>7</v>
      </c>
      <c r="D75" s="67" t="s">
        <v>8</v>
      </c>
      <c r="E75" s="67" t="s">
        <v>26</v>
      </c>
      <c r="F75" s="67" t="s">
        <v>10</v>
      </c>
      <c r="G75" s="67" t="s">
        <v>27</v>
      </c>
      <c r="H75" s="64"/>
      <c r="I75" s="31"/>
      <c r="J75" s="31"/>
      <c r="K75" s="31"/>
      <c r="L75" s="31"/>
    </row>
    <row r="76" spans="2:12" ht="17.25" x14ac:dyDescent="0.3">
      <c r="B76" s="68" t="s">
        <v>265</v>
      </c>
      <c r="C76" s="128">
        <v>0.43</v>
      </c>
      <c r="D76" s="128">
        <v>0.37797267825086395</v>
      </c>
      <c r="E76" s="129">
        <v>0.38</v>
      </c>
      <c r="F76" s="129">
        <v>0.37</v>
      </c>
      <c r="G76" s="80">
        <v>0.38</v>
      </c>
      <c r="H76" s="64"/>
      <c r="I76" s="31"/>
      <c r="J76" s="31"/>
      <c r="K76" s="31"/>
      <c r="L76" s="31"/>
    </row>
    <row r="77" spans="2:12" ht="17.25" x14ac:dyDescent="0.3">
      <c r="B77" s="68" t="s">
        <v>266</v>
      </c>
      <c r="C77" s="128">
        <v>0.04</v>
      </c>
      <c r="D77" s="128">
        <v>3.6273691636671331E-2</v>
      </c>
      <c r="E77" s="129">
        <v>0.04</v>
      </c>
      <c r="F77" s="129">
        <v>0.05</v>
      </c>
      <c r="G77" s="80">
        <v>7.0000000000000007E-2</v>
      </c>
      <c r="H77" s="64"/>
      <c r="I77" s="31"/>
      <c r="J77" s="31"/>
      <c r="K77" s="31"/>
      <c r="L77" s="31"/>
    </row>
    <row r="78" spans="2:12" ht="17.25" x14ac:dyDescent="0.3">
      <c r="B78" s="68" t="s">
        <v>267</v>
      </c>
      <c r="C78" s="128">
        <v>0.32</v>
      </c>
      <c r="D78" s="128">
        <v>0.24278987877590244</v>
      </c>
      <c r="E78" s="129">
        <v>0.28000000000000003</v>
      </c>
      <c r="F78" s="129">
        <v>0.26</v>
      </c>
      <c r="G78" s="80">
        <v>0.28000000000000003</v>
      </c>
      <c r="H78" s="64"/>
      <c r="I78" s="31"/>
      <c r="J78" s="31"/>
      <c r="K78" s="31"/>
      <c r="L78" s="31"/>
    </row>
    <row r="79" spans="2:12" ht="17.25" x14ac:dyDescent="0.3">
      <c r="B79" s="68" t="s">
        <v>268</v>
      </c>
      <c r="C79" s="128">
        <v>0.03</v>
      </c>
      <c r="D79" s="128">
        <v>3.3585155667532757E-2</v>
      </c>
      <c r="E79" s="129">
        <v>0.03</v>
      </c>
      <c r="F79" s="129">
        <v>0.03</v>
      </c>
      <c r="G79" s="80">
        <v>0.03</v>
      </c>
      <c r="H79" s="64"/>
      <c r="I79" s="31"/>
      <c r="J79" s="31"/>
      <c r="K79" s="31"/>
      <c r="L79" s="31"/>
    </row>
    <row r="80" spans="2:12" ht="17.25" x14ac:dyDescent="0.3">
      <c r="B80" s="68" t="s">
        <v>269</v>
      </c>
      <c r="C80" s="128">
        <v>0.18</v>
      </c>
      <c r="D80" s="128">
        <v>0.28312831883897382</v>
      </c>
      <c r="E80" s="129">
        <v>0.26</v>
      </c>
      <c r="F80" s="129">
        <v>0.28000000000000003</v>
      </c>
      <c r="G80" s="80">
        <v>0.25</v>
      </c>
      <c r="H80" s="64"/>
      <c r="I80" s="31"/>
      <c r="J80" s="31"/>
      <c r="K80" s="31"/>
      <c r="L80" s="31"/>
    </row>
    <row r="81" spans="2:14" ht="17.25" x14ac:dyDescent="0.3">
      <c r="B81" s="85" t="s">
        <v>270</v>
      </c>
      <c r="C81" s="130">
        <v>0</v>
      </c>
      <c r="D81" s="130">
        <v>2.625027683005569E-2</v>
      </c>
      <c r="E81" s="131">
        <v>0.01</v>
      </c>
      <c r="F81" s="131">
        <v>0.02</v>
      </c>
      <c r="G81" s="132">
        <v>0.02</v>
      </c>
      <c r="H81" s="64"/>
      <c r="I81" s="31"/>
      <c r="J81" s="31"/>
      <c r="K81" s="31"/>
      <c r="L81" s="31"/>
    </row>
    <row r="82" spans="2:14" ht="17.25" x14ac:dyDescent="0.3">
      <c r="B82" s="63"/>
      <c r="C82" s="97"/>
      <c r="D82" s="64"/>
      <c r="E82" s="64"/>
      <c r="F82" s="64"/>
      <c r="G82" s="64"/>
      <c r="H82" s="64"/>
      <c r="I82" s="64"/>
      <c r="J82" s="64"/>
      <c r="K82" s="64"/>
      <c r="L82" s="31"/>
    </row>
    <row r="83" spans="2:14" ht="25.5" x14ac:dyDescent="0.3">
      <c r="B83" s="98" t="s">
        <v>271</v>
      </c>
      <c r="C83" s="98"/>
      <c r="D83" s="64"/>
      <c r="E83" s="64"/>
      <c r="F83" s="64"/>
      <c r="G83" s="64"/>
      <c r="H83" s="64"/>
      <c r="I83" s="64"/>
      <c r="J83" s="64"/>
      <c r="K83" s="64"/>
      <c r="L83" s="31"/>
    </row>
    <row r="84" spans="2:14" ht="17.25" x14ac:dyDescent="0.3">
      <c r="B84" s="65" t="s">
        <v>272</v>
      </c>
      <c r="C84" s="65"/>
      <c r="D84" s="59"/>
      <c r="E84" s="59"/>
      <c r="F84" s="59"/>
      <c r="G84" s="59"/>
      <c r="H84" s="59"/>
      <c r="I84" s="59"/>
      <c r="J84" s="59"/>
      <c r="K84" s="59"/>
      <c r="L84" s="77"/>
    </row>
    <row r="85" spans="2:14" ht="6" customHeight="1" thickBot="1" x14ac:dyDescent="0.35">
      <c r="B85" s="63"/>
      <c r="C85" s="63"/>
      <c r="D85" s="64"/>
      <c r="E85" s="31"/>
      <c r="F85" s="64"/>
      <c r="G85" s="64"/>
      <c r="H85" s="64"/>
      <c r="I85" s="64"/>
      <c r="J85" s="64"/>
      <c r="K85" s="64"/>
      <c r="L85" s="31"/>
    </row>
    <row r="86" spans="2:14" ht="17.25" x14ac:dyDescent="0.3">
      <c r="B86" s="67"/>
      <c r="C86" s="67" t="s">
        <v>7</v>
      </c>
      <c r="D86" s="67" t="s">
        <v>8</v>
      </c>
      <c r="E86" s="67"/>
      <c r="F86" s="67" t="s">
        <v>26</v>
      </c>
      <c r="G86" s="67" t="s">
        <v>10</v>
      </c>
      <c r="H86" s="64"/>
      <c r="I86" s="64"/>
      <c r="J86" s="64"/>
      <c r="K86" s="64"/>
      <c r="L86" s="64"/>
      <c r="M86" s="1"/>
      <c r="N86" s="1"/>
    </row>
    <row r="87" spans="2:14" ht="17.25" x14ac:dyDescent="0.3">
      <c r="B87" s="68" t="s">
        <v>20</v>
      </c>
      <c r="C87" s="135">
        <v>58913</v>
      </c>
      <c r="D87" s="135">
        <f>64016592/1000</f>
        <v>64016.591999999997</v>
      </c>
      <c r="E87" s="68" t="s">
        <v>273</v>
      </c>
      <c r="F87" s="69">
        <v>69388.687000000005</v>
      </c>
      <c r="G87" s="69">
        <v>58000</v>
      </c>
      <c r="H87" s="64"/>
      <c r="I87" s="64"/>
      <c r="J87" s="64"/>
      <c r="K87" s="64"/>
      <c r="L87" s="64"/>
      <c r="M87" s="1"/>
      <c r="N87" s="1"/>
    </row>
    <row r="88" spans="2:14" ht="17.25" x14ac:dyDescent="0.3">
      <c r="B88" s="68" t="s">
        <v>274</v>
      </c>
      <c r="C88" s="135">
        <v>23044</v>
      </c>
      <c r="D88" s="135">
        <f>23226623.58/1000+9449</f>
        <v>32675.623579999999</v>
      </c>
      <c r="E88" s="68" t="s">
        <v>275</v>
      </c>
      <c r="F88" s="69">
        <v>13686.870999999999</v>
      </c>
      <c r="G88" s="139"/>
      <c r="H88" s="64"/>
      <c r="I88" s="64"/>
      <c r="J88" s="64"/>
      <c r="K88" s="64"/>
      <c r="L88" s="64"/>
      <c r="M88" s="1"/>
      <c r="N88" s="1"/>
    </row>
    <row r="89" spans="2:14" ht="18" thickBot="1" x14ac:dyDescent="0.35">
      <c r="B89" s="70" t="s">
        <v>6</v>
      </c>
      <c r="C89" s="136">
        <f>SUM(C87:C88)+1</f>
        <v>81958</v>
      </c>
      <c r="D89" s="136">
        <f>SUM(D87:D88)+1</f>
        <v>96693.215579999989</v>
      </c>
      <c r="E89" s="79" t="s">
        <v>276</v>
      </c>
      <c r="F89" s="120">
        <f>SUM(F87:F88)</f>
        <v>83075.558000000005</v>
      </c>
      <c r="G89" s="120">
        <v>58000</v>
      </c>
      <c r="H89" s="64"/>
      <c r="I89" s="64"/>
      <c r="J89" s="64"/>
      <c r="K89" s="64"/>
      <c r="L89" s="64"/>
      <c r="M89" s="1"/>
      <c r="N89" s="1"/>
    </row>
    <row r="90" spans="2:14" ht="17.25" x14ac:dyDescent="0.3">
      <c r="B90" s="133"/>
      <c r="D90" s="137"/>
      <c r="E90" s="68" t="s">
        <v>49</v>
      </c>
      <c r="F90" s="69">
        <v>10485.812</v>
      </c>
      <c r="G90" s="139"/>
      <c r="H90" s="64"/>
      <c r="I90" s="64"/>
      <c r="J90" s="64"/>
      <c r="K90" s="64"/>
      <c r="L90" s="64"/>
      <c r="M90" s="1"/>
      <c r="N90" s="1"/>
    </row>
    <row r="91" spans="2:14" ht="18" thickBot="1" x14ac:dyDescent="0.35">
      <c r="B91" s="31"/>
      <c r="D91" s="31"/>
      <c r="E91" s="70" t="s">
        <v>6</v>
      </c>
      <c r="F91" s="72">
        <v>93561.37</v>
      </c>
      <c r="G91" s="72">
        <v>58000</v>
      </c>
      <c r="H91" s="64"/>
      <c r="I91" s="64"/>
      <c r="J91" s="64"/>
      <c r="K91" s="64"/>
      <c r="L91" s="64"/>
      <c r="M91" s="1"/>
      <c r="N91" s="1"/>
    </row>
    <row r="92" spans="2:14" ht="17.25" x14ac:dyDescent="0.3">
      <c r="B92" s="99"/>
      <c r="C92" s="63"/>
      <c r="D92" s="64"/>
      <c r="E92" s="64"/>
      <c r="F92" s="64"/>
      <c r="G92" s="64"/>
      <c r="H92" s="64"/>
      <c r="I92" s="64"/>
      <c r="J92" s="64"/>
      <c r="K92" s="64"/>
      <c r="L92" s="31"/>
    </row>
    <row r="93" spans="2:14" ht="25.5" x14ac:dyDescent="0.3">
      <c r="B93" s="98" t="s">
        <v>277</v>
      </c>
      <c r="C93" s="98"/>
      <c r="D93" s="64"/>
      <c r="E93" s="64"/>
      <c r="F93" s="64"/>
      <c r="G93" s="64"/>
      <c r="H93" s="64"/>
      <c r="I93" s="64"/>
      <c r="J93" s="64"/>
      <c r="K93" s="64"/>
      <c r="L93" s="31"/>
    </row>
    <row r="94" spans="2:14" ht="17.25" x14ac:dyDescent="0.3">
      <c r="B94" s="65" t="s">
        <v>278</v>
      </c>
      <c r="C94" s="65"/>
      <c r="D94" s="59"/>
      <c r="E94" s="59"/>
      <c r="F94" s="59"/>
      <c r="G94" s="59"/>
      <c r="H94" s="59"/>
      <c r="I94" s="59"/>
      <c r="J94" s="59"/>
      <c r="K94" s="59"/>
      <c r="L94" s="77"/>
    </row>
    <row r="95" spans="2:14" ht="6" customHeight="1" thickBot="1" x14ac:dyDescent="0.35">
      <c r="B95" s="63"/>
      <c r="C95" s="63"/>
      <c r="D95" s="64"/>
      <c r="E95" s="31"/>
      <c r="F95" s="64"/>
      <c r="G95" s="64"/>
      <c r="H95" s="64"/>
      <c r="I95" s="64"/>
      <c r="J95" s="64"/>
      <c r="K95" s="64"/>
      <c r="L95" s="31"/>
    </row>
    <row r="96" spans="2:14" ht="17.25" x14ac:dyDescent="0.3">
      <c r="B96" s="67"/>
      <c r="C96" s="67" t="s">
        <v>7</v>
      </c>
      <c r="D96" s="67" t="s">
        <v>8</v>
      </c>
      <c r="E96" s="67"/>
      <c r="F96" s="67" t="s">
        <v>26</v>
      </c>
      <c r="G96" s="67" t="s">
        <v>10</v>
      </c>
      <c r="H96" s="64"/>
      <c r="I96" s="64"/>
      <c r="J96" s="64"/>
      <c r="K96" s="64"/>
      <c r="L96" s="64"/>
      <c r="M96" s="1"/>
      <c r="N96" s="1"/>
    </row>
    <row r="97" spans="2:14" ht="17.25" x14ac:dyDescent="0.3">
      <c r="B97" s="68" t="s">
        <v>20</v>
      </c>
      <c r="C97" s="383">
        <v>5163127.9486666657</v>
      </c>
      <c r="D97" s="122">
        <v>4251301</v>
      </c>
      <c r="E97" s="68" t="s">
        <v>273</v>
      </c>
      <c r="F97" s="69">
        <v>2429480</v>
      </c>
      <c r="G97" s="139"/>
      <c r="H97" s="64"/>
      <c r="I97" s="64"/>
      <c r="J97" s="64"/>
      <c r="K97" s="64"/>
      <c r="L97" s="64"/>
      <c r="M97" s="1"/>
      <c r="N97" s="1"/>
    </row>
    <row r="98" spans="2:14" ht="17.25" x14ac:dyDescent="0.3">
      <c r="B98" s="68" t="s">
        <v>274</v>
      </c>
      <c r="C98" s="383">
        <v>102122</v>
      </c>
      <c r="D98" s="122">
        <f>364196+55573</f>
        <v>419769</v>
      </c>
      <c r="E98" s="68" t="s">
        <v>275</v>
      </c>
      <c r="F98" s="69">
        <v>585851</v>
      </c>
      <c r="G98" s="139"/>
      <c r="H98" s="64"/>
      <c r="I98" s="64"/>
      <c r="J98" s="64"/>
      <c r="K98" s="64"/>
      <c r="L98" s="64"/>
      <c r="M98" s="1"/>
      <c r="N98" s="1"/>
    </row>
    <row r="99" spans="2:14" ht="18" thickBot="1" x14ac:dyDescent="0.35">
      <c r="B99" s="70" t="s">
        <v>6</v>
      </c>
      <c r="C99" s="382">
        <v>5265249.9486666657</v>
      </c>
      <c r="D99" s="140">
        <f>SUM(D97:D98)</f>
        <v>4671070</v>
      </c>
      <c r="E99" s="79" t="s">
        <v>276</v>
      </c>
      <c r="F99" s="120">
        <f>SUM(F97:F98)</f>
        <v>3015331</v>
      </c>
      <c r="G99" s="120">
        <v>3000000</v>
      </c>
      <c r="H99" s="64"/>
      <c r="I99" s="64"/>
      <c r="J99" s="64"/>
      <c r="K99" s="64"/>
      <c r="L99" s="64"/>
      <c r="M99" s="1"/>
      <c r="N99" s="1"/>
    </row>
    <row r="100" spans="2:14" ht="17.25" x14ac:dyDescent="0.3">
      <c r="B100" s="133"/>
      <c r="D100" s="115"/>
      <c r="E100" s="68" t="s">
        <v>49</v>
      </c>
      <c r="F100" s="69">
        <v>42630</v>
      </c>
      <c r="G100" s="139"/>
      <c r="H100" s="64"/>
      <c r="I100" s="64"/>
      <c r="J100" s="64"/>
      <c r="K100" s="64"/>
      <c r="L100" s="64"/>
      <c r="M100" s="1"/>
      <c r="N100" s="1"/>
    </row>
    <row r="101" spans="2:14" ht="18" thickBot="1" x14ac:dyDescent="0.35">
      <c r="B101" s="31"/>
      <c r="D101" s="31"/>
      <c r="E101" s="70" t="s">
        <v>6</v>
      </c>
      <c r="F101" s="71">
        <v>3057961</v>
      </c>
      <c r="G101" s="72">
        <v>3000000</v>
      </c>
      <c r="H101" s="64"/>
      <c r="I101" s="64"/>
      <c r="J101" s="64"/>
      <c r="K101" s="64"/>
      <c r="L101" s="64"/>
      <c r="M101" s="1"/>
      <c r="N101" s="1"/>
    </row>
    <row r="102" spans="2:14" ht="17.25" x14ac:dyDescent="0.3">
      <c r="B102" s="63"/>
      <c r="C102" s="63"/>
      <c r="D102" s="64"/>
      <c r="E102" s="64"/>
      <c r="F102" s="64"/>
      <c r="G102" s="64"/>
      <c r="H102" s="64"/>
      <c r="I102" s="64"/>
      <c r="J102" s="64"/>
      <c r="K102" s="64"/>
      <c r="L102" s="31"/>
    </row>
    <row r="103" spans="2:14" ht="25.5" x14ac:dyDescent="0.3">
      <c r="B103" s="98" t="s">
        <v>279</v>
      </c>
      <c r="C103" s="98"/>
      <c r="D103" s="64"/>
      <c r="E103" s="64"/>
      <c r="F103" s="64"/>
      <c r="G103" s="64"/>
      <c r="H103" s="64"/>
      <c r="I103" s="64"/>
      <c r="J103" s="64"/>
      <c r="K103" s="31"/>
      <c r="L103" s="31"/>
    </row>
    <row r="104" spans="2:14" ht="17.25" x14ac:dyDescent="0.3">
      <c r="B104" s="65" t="s">
        <v>280</v>
      </c>
      <c r="C104" s="65"/>
      <c r="D104" s="59"/>
      <c r="E104" s="59"/>
      <c r="F104" s="59"/>
      <c r="G104" s="59"/>
      <c r="H104" s="59"/>
      <c r="I104" s="59"/>
      <c r="J104" s="59"/>
      <c r="K104" s="59"/>
      <c r="L104" s="77"/>
    </row>
    <row r="105" spans="2:14" ht="6" customHeight="1" thickBot="1" x14ac:dyDescent="0.35">
      <c r="B105" s="63"/>
      <c r="C105" s="63"/>
      <c r="D105" s="64"/>
      <c r="E105" s="31"/>
      <c r="F105" s="64"/>
      <c r="G105" s="64"/>
      <c r="H105" s="64"/>
      <c r="I105" s="64"/>
      <c r="J105" s="64"/>
      <c r="K105" s="64"/>
      <c r="L105" s="31"/>
    </row>
    <row r="106" spans="2:14" ht="17.25" x14ac:dyDescent="0.3">
      <c r="B106" s="67"/>
      <c r="C106" s="67" t="s">
        <v>7</v>
      </c>
      <c r="D106" s="67" t="s">
        <v>8</v>
      </c>
      <c r="E106" s="67"/>
      <c r="F106" s="67" t="s">
        <v>26</v>
      </c>
      <c r="G106" s="67" t="s">
        <v>10</v>
      </c>
      <c r="H106" s="67" t="s">
        <v>27</v>
      </c>
      <c r="I106" s="64"/>
      <c r="J106" s="31"/>
      <c r="K106" s="31"/>
      <c r="L106" s="31"/>
    </row>
    <row r="107" spans="2:14" ht="17.25" x14ac:dyDescent="0.3">
      <c r="B107" s="68" t="s">
        <v>274</v>
      </c>
      <c r="C107" s="134">
        <v>163.18</v>
      </c>
      <c r="D107" s="141">
        <f>229604022/1000000</f>
        <v>229.60402199999999</v>
      </c>
      <c r="E107" s="68" t="s">
        <v>274</v>
      </c>
      <c r="F107" s="141">
        <v>211</v>
      </c>
      <c r="G107" s="141">
        <v>155.58000000000001</v>
      </c>
      <c r="H107" s="120">
        <v>202</v>
      </c>
      <c r="I107" s="64"/>
      <c r="J107" s="64"/>
      <c r="K107" s="31"/>
      <c r="L107" s="31"/>
      <c r="M107" s="1"/>
      <c r="N107" s="1"/>
    </row>
    <row r="108" spans="2:14" ht="17.25" x14ac:dyDescent="0.3">
      <c r="B108" s="68" t="s">
        <v>20</v>
      </c>
      <c r="C108" s="134">
        <v>251.71</v>
      </c>
      <c r="D108" s="141">
        <f>280001859.701942/1000000</f>
        <v>280.00185970194201</v>
      </c>
      <c r="E108" s="68" t="s">
        <v>20</v>
      </c>
      <c r="F108" s="141">
        <v>400.61</v>
      </c>
      <c r="G108" s="141">
        <v>369.78</v>
      </c>
      <c r="H108" s="120">
        <v>467</v>
      </c>
      <c r="I108" s="64"/>
      <c r="J108" s="64"/>
      <c r="K108" s="31"/>
      <c r="L108" s="31"/>
      <c r="M108" s="1"/>
    </row>
    <row r="109" spans="2:14" ht="17.25" x14ac:dyDescent="0.3">
      <c r="B109" s="68" t="s">
        <v>48</v>
      </c>
      <c r="C109" s="134">
        <v>0.65</v>
      </c>
      <c r="D109" s="141">
        <v>0.65</v>
      </c>
      <c r="E109" s="68" t="s">
        <v>49</v>
      </c>
      <c r="F109" s="141">
        <v>12.39</v>
      </c>
      <c r="G109" s="141">
        <v>20.3</v>
      </c>
      <c r="H109" s="120">
        <v>24</v>
      </c>
      <c r="I109" s="31"/>
      <c r="J109" s="64"/>
      <c r="K109" s="31"/>
      <c r="L109" s="31"/>
      <c r="M109" s="1"/>
    </row>
    <row r="110" spans="2:14" ht="18" thickBot="1" x14ac:dyDescent="0.35">
      <c r="B110" s="70" t="s">
        <v>255</v>
      </c>
      <c r="C110" s="384">
        <v>415.54</v>
      </c>
      <c r="D110" s="71">
        <f>SUM(D107:D109)</f>
        <v>510.25588170194197</v>
      </c>
      <c r="E110" s="68" t="s">
        <v>48</v>
      </c>
      <c r="F110" s="141">
        <v>0.65</v>
      </c>
      <c r="G110" s="141" t="s">
        <v>19</v>
      </c>
      <c r="H110" s="120"/>
      <c r="I110" s="64"/>
      <c r="J110" s="64"/>
      <c r="K110" s="31"/>
      <c r="L110" s="31"/>
    </row>
    <row r="111" spans="2:14" ht="18" thickBot="1" x14ac:dyDescent="0.35">
      <c r="B111" s="144"/>
      <c r="C111" s="145"/>
      <c r="D111" s="146"/>
      <c r="E111" s="70" t="s">
        <v>255</v>
      </c>
      <c r="F111" s="143">
        <v>624.65</v>
      </c>
      <c r="G111" s="72" t="s">
        <v>281</v>
      </c>
      <c r="H111" s="72">
        <v>693</v>
      </c>
      <c r="I111" s="64"/>
      <c r="J111" s="64"/>
      <c r="K111" s="31"/>
      <c r="L111" s="31"/>
    </row>
    <row r="112" spans="2:14" ht="17.25" x14ac:dyDescent="0.3">
      <c r="B112" s="63"/>
      <c r="C112" s="63"/>
      <c r="D112" s="31"/>
      <c r="E112" s="64"/>
      <c r="F112" s="64"/>
      <c r="G112" s="64"/>
      <c r="H112" s="64"/>
      <c r="I112" s="64"/>
      <c r="J112" s="64"/>
      <c r="K112" s="31"/>
      <c r="L112" s="31"/>
    </row>
    <row r="113" spans="2:14" ht="17.25" x14ac:dyDescent="0.3">
      <c r="B113" s="65" t="s">
        <v>282</v>
      </c>
      <c r="C113" s="65"/>
      <c r="D113" s="59"/>
      <c r="E113" s="59"/>
      <c r="F113" s="59"/>
      <c r="G113" s="59"/>
      <c r="H113" s="59"/>
      <c r="I113" s="59"/>
      <c r="J113" s="59"/>
      <c r="K113" s="59"/>
      <c r="L113" s="77"/>
    </row>
    <row r="114" spans="2:14" ht="6" customHeight="1" thickBot="1" x14ac:dyDescent="0.35">
      <c r="B114" s="63"/>
      <c r="C114" s="63"/>
      <c r="D114" s="64"/>
      <c r="E114" s="31"/>
      <c r="F114" s="64"/>
      <c r="G114" s="64"/>
      <c r="H114" s="64"/>
      <c r="I114" s="64"/>
      <c r="J114" s="64"/>
      <c r="K114" s="64"/>
      <c r="L114" s="31"/>
    </row>
    <row r="115" spans="2:14" ht="17.25" x14ac:dyDescent="0.3">
      <c r="B115" s="67"/>
      <c r="C115" s="67" t="s">
        <v>7</v>
      </c>
      <c r="D115" s="67" t="s">
        <v>8</v>
      </c>
      <c r="E115" s="67"/>
      <c r="F115" s="67" t="s">
        <v>26</v>
      </c>
      <c r="G115" s="67" t="s">
        <v>10</v>
      </c>
      <c r="H115" s="67" t="s">
        <v>27</v>
      </c>
      <c r="I115" s="64"/>
      <c r="J115" s="31"/>
      <c r="K115" s="31"/>
      <c r="L115" s="31"/>
    </row>
    <row r="116" spans="2:14" ht="17.25" x14ac:dyDescent="0.3">
      <c r="B116" s="68" t="s">
        <v>274</v>
      </c>
      <c r="C116" s="141">
        <v>1.25</v>
      </c>
      <c r="D116" s="141">
        <f>2992369.39/1000000</f>
        <v>2.9923693900000004</v>
      </c>
      <c r="E116" s="68" t="s">
        <v>274</v>
      </c>
      <c r="F116" s="141">
        <v>2.87</v>
      </c>
      <c r="G116" s="141">
        <v>0.89</v>
      </c>
      <c r="H116" s="120">
        <v>0.77</v>
      </c>
      <c r="I116" s="64"/>
      <c r="J116" s="64"/>
      <c r="K116" s="31"/>
      <c r="L116" s="31"/>
      <c r="M116" s="1"/>
    </row>
    <row r="117" spans="2:14" ht="17.25" x14ac:dyDescent="0.3">
      <c r="B117" s="68" t="s">
        <v>20</v>
      </c>
      <c r="C117" s="141">
        <v>10.88</v>
      </c>
      <c r="D117" s="141">
        <f>6881980/1000000</f>
        <v>6.8819800000000004</v>
      </c>
      <c r="E117" s="68" t="s">
        <v>20</v>
      </c>
      <c r="F117" s="141">
        <v>8.9499999999999993</v>
      </c>
      <c r="G117" s="141">
        <v>8.2899999999999991</v>
      </c>
      <c r="H117" s="120">
        <v>16.11</v>
      </c>
      <c r="I117" s="64"/>
      <c r="J117" s="64"/>
      <c r="K117" s="31"/>
      <c r="L117" s="31"/>
      <c r="M117" s="1"/>
    </row>
    <row r="118" spans="2:14" ht="17.25" x14ac:dyDescent="0.3">
      <c r="B118" s="68" t="s">
        <v>48</v>
      </c>
      <c r="C118" s="141"/>
      <c r="D118" s="141">
        <f>283905.75/1000000</f>
        <v>0.28390575000000001</v>
      </c>
      <c r="E118" s="68" t="s">
        <v>49</v>
      </c>
      <c r="F118" s="141">
        <v>0.46</v>
      </c>
      <c r="G118" s="141">
        <v>5.76</v>
      </c>
      <c r="H118" s="120">
        <v>0.04</v>
      </c>
      <c r="I118" s="64"/>
      <c r="J118" s="64"/>
      <c r="K118" s="31"/>
      <c r="L118" s="31"/>
      <c r="M118" s="1"/>
    </row>
    <row r="119" spans="2:14" ht="18" thickBot="1" x14ac:dyDescent="0.35">
      <c r="B119" s="70" t="s">
        <v>255</v>
      </c>
      <c r="C119" s="71">
        <v>12.13</v>
      </c>
      <c r="D119" s="71">
        <f>SUM(D116:D118)</f>
        <v>10.158255140000001</v>
      </c>
      <c r="E119" s="68" t="s">
        <v>48</v>
      </c>
      <c r="F119" s="141">
        <v>0.28000000000000003</v>
      </c>
      <c r="G119" s="141">
        <v>0.27</v>
      </c>
      <c r="H119" s="120" t="s">
        <v>19</v>
      </c>
      <c r="I119" s="64"/>
      <c r="J119" s="64"/>
      <c r="K119" s="31"/>
      <c r="L119" s="31"/>
      <c r="M119" s="1"/>
      <c r="N119" s="1"/>
    </row>
    <row r="120" spans="2:14" ht="18" thickBot="1" x14ac:dyDescent="0.35">
      <c r="B120" s="144"/>
      <c r="C120" s="145"/>
      <c r="D120" s="146"/>
      <c r="E120" s="70" t="s">
        <v>255</v>
      </c>
      <c r="F120" s="143">
        <v>12.56</v>
      </c>
      <c r="G120" s="143">
        <v>15.2</v>
      </c>
      <c r="H120" s="72">
        <v>16.920000000000002</v>
      </c>
      <c r="I120" s="64"/>
      <c r="J120" s="64"/>
      <c r="K120" s="31"/>
      <c r="L120" s="31"/>
      <c r="M120" s="1"/>
      <c r="N120" s="1"/>
    </row>
    <row r="121" spans="2:14" ht="17.25" x14ac:dyDescent="0.3">
      <c r="B121" s="63"/>
      <c r="C121" s="63"/>
      <c r="D121" s="64"/>
      <c r="E121" s="64"/>
      <c r="F121" s="64"/>
      <c r="G121" s="64"/>
      <c r="H121" s="64"/>
      <c r="I121" s="64"/>
      <c r="J121" s="64"/>
      <c r="K121" s="64"/>
      <c r="L121" s="64"/>
    </row>
    <row r="122" spans="2:14" ht="17.25" x14ac:dyDescent="0.3">
      <c r="B122" s="65" t="s">
        <v>283</v>
      </c>
      <c r="C122" s="65"/>
      <c r="D122" s="59"/>
      <c r="E122" s="59"/>
      <c r="F122" s="59"/>
      <c r="G122" s="59"/>
      <c r="H122" s="59"/>
      <c r="I122" s="59"/>
      <c r="J122" s="59"/>
      <c r="K122" s="59"/>
      <c r="L122" s="77"/>
    </row>
    <row r="123" spans="2:14" ht="6" customHeight="1" thickBot="1" x14ac:dyDescent="0.35">
      <c r="B123" s="63"/>
      <c r="C123" s="63"/>
      <c r="D123" s="64"/>
      <c r="E123" s="31"/>
      <c r="F123" s="64"/>
      <c r="G123" s="64"/>
      <c r="H123" s="64"/>
      <c r="I123" s="64"/>
      <c r="J123" s="64"/>
      <c r="K123" s="64"/>
      <c r="L123" s="31"/>
    </row>
    <row r="124" spans="2:14" ht="17.25" x14ac:dyDescent="0.3">
      <c r="B124" s="67"/>
      <c r="C124" s="67" t="s">
        <v>7</v>
      </c>
      <c r="D124" s="67" t="s">
        <v>8</v>
      </c>
      <c r="E124" s="67"/>
      <c r="F124" s="67" t="s">
        <v>26</v>
      </c>
      <c r="G124" s="67" t="s">
        <v>10</v>
      </c>
      <c r="H124" s="64"/>
      <c r="I124" s="64"/>
      <c r="J124" s="64"/>
      <c r="K124" s="64"/>
      <c r="L124" s="64"/>
      <c r="M124" s="1"/>
    </row>
    <row r="125" spans="2:14" ht="17.25" x14ac:dyDescent="0.3">
      <c r="B125" s="68" t="s">
        <v>274</v>
      </c>
      <c r="C125" s="147">
        <v>97.3</v>
      </c>
      <c r="D125" s="147">
        <f>91639466.9428571/1000000</f>
        <v>91.639466942857098</v>
      </c>
      <c r="E125" s="68" t="s">
        <v>274</v>
      </c>
      <c r="F125" s="149">
        <v>80.77</v>
      </c>
      <c r="G125" s="149">
        <v>118.21</v>
      </c>
      <c r="H125" s="100"/>
      <c r="I125" s="100"/>
      <c r="J125" s="101"/>
      <c r="K125" s="64"/>
      <c r="L125" s="64"/>
      <c r="M125" s="1"/>
    </row>
    <row r="126" spans="2:14" ht="17.25" x14ac:dyDescent="0.3">
      <c r="B126" s="68" t="s">
        <v>20</v>
      </c>
      <c r="C126" s="147">
        <v>29</v>
      </c>
      <c r="D126" s="147">
        <f>25003026.9427113/1000000</f>
        <v>25.003026942711301</v>
      </c>
      <c r="E126" s="68" t="s">
        <v>20</v>
      </c>
      <c r="F126" s="149">
        <v>58.84</v>
      </c>
      <c r="G126" s="149">
        <v>72.510000000000005</v>
      </c>
      <c r="H126" s="64"/>
      <c r="I126" s="64"/>
      <c r="J126" s="64"/>
      <c r="K126" s="64"/>
      <c r="L126" s="64"/>
      <c r="M126" s="1"/>
    </row>
    <row r="127" spans="2:14" ht="18" thickBot="1" x14ac:dyDescent="0.35">
      <c r="B127" s="70" t="s">
        <v>255</v>
      </c>
      <c r="C127" s="148">
        <v>126.2</v>
      </c>
      <c r="D127" s="148">
        <f>SUM(D125:D126)</f>
        <v>116.6424938855684</v>
      </c>
      <c r="E127" s="68" t="s">
        <v>49</v>
      </c>
      <c r="F127" s="149">
        <v>3.26</v>
      </c>
      <c r="G127" s="149">
        <v>3.86</v>
      </c>
      <c r="H127" s="64"/>
      <c r="I127" s="64"/>
      <c r="J127" s="64"/>
      <c r="K127" s="64"/>
      <c r="L127" s="64"/>
      <c r="M127" s="1"/>
    </row>
    <row r="128" spans="2:14" ht="18" thickBot="1" x14ac:dyDescent="0.35">
      <c r="B128" s="31"/>
      <c r="D128" s="31"/>
      <c r="E128" s="70" t="s">
        <v>255</v>
      </c>
      <c r="F128" s="150">
        <v>142.87</v>
      </c>
      <c r="G128" s="143">
        <v>194.58</v>
      </c>
      <c r="H128" s="64"/>
      <c r="I128" s="64"/>
      <c r="J128" s="64"/>
      <c r="K128" s="64"/>
      <c r="L128" s="64"/>
      <c r="M128" s="1"/>
    </row>
    <row r="129" spans="2:13" ht="17.25" x14ac:dyDescent="0.3">
      <c r="B129" s="31"/>
      <c r="C129" s="31"/>
      <c r="D129" s="63"/>
      <c r="E129" s="102"/>
      <c r="F129" s="103"/>
      <c r="G129" s="64"/>
      <c r="H129" s="64"/>
      <c r="I129" s="64"/>
      <c r="J129" s="64"/>
      <c r="K129" s="64"/>
      <c r="L129" s="64"/>
      <c r="M129" s="1"/>
    </row>
    <row r="130" spans="2:13" ht="17.25" x14ac:dyDescent="0.3">
      <c r="B130" s="65" t="s">
        <v>284</v>
      </c>
      <c r="C130" s="65"/>
      <c r="D130" s="59"/>
      <c r="E130" s="59"/>
      <c r="F130" s="59"/>
      <c r="G130" s="59"/>
      <c r="H130" s="59"/>
      <c r="I130" s="59"/>
      <c r="J130" s="59"/>
      <c r="K130" s="59"/>
      <c r="L130" s="77"/>
    </row>
    <row r="131" spans="2:13" ht="6" customHeight="1" thickBot="1" x14ac:dyDescent="0.35">
      <c r="B131" s="63"/>
      <c r="C131" s="63"/>
      <c r="D131" s="64"/>
      <c r="E131" s="31"/>
      <c r="F131" s="64"/>
      <c r="G131" s="64"/>
      <c r="H131" s="64"/>
      <c r="I131" s="64"/>
      <c r="J131" s="64"/>
      <c r="K131" s="64"/>
      <c r="L131" s="31"/>
    </row>
    <row r="132" spans="2:13" ht="17.25" x14ac:dyDescent="0.3">
      <c r="B132" s="67"/>
      <c r="C132" s="67" t="s">
        <v>7</v>
      </c>
      <c r="D132" s="67" t="s">
        <v>8</v>
      </c>
      <c r="E132" s="67"/>
      <c r="F132" s="67" t="s">
        <v>26</v>
      </c>
      <c r="G132" s="64"/>
      <c r="H132" s="64"/>
      <c r="I132" s="64"/>
      <c r="J132" s="64"/>
      <c r="K132" s="64"/>
      <c r="L132" s="64"/>
    </row>
    <row r="133" spans="2:13" ht="17.25" x14ac:dyDescent="0.3">
      <c r="B133" s="68" t="s">
        <v>274</v>
      </c>
      <c r="C133" s="388">
        <v>2E-3</v>
      </c>
      <c r="D133" s="147">
        <f>29810/1000000</f>
        <v>2.981E-2</v>
      </c>
      <c r="E133" s="68" t="s">
        <v>274</v>
      </c>
      <c r="F133" s="149">
        <v>0.04</v>
      </c>
      <c r="G133" s="64"/>
      <c r="H133" s="64"/>
      <c r="I133" s="64"/>
      <c r="J133" s="64"/>
      <c r="K133" s="64"/>
      <c r="L133" s="64"/>
    </row>
    <row r="134" spans="2:13" ht="17.25" x14ac:dyDescent="0.3">
      <c r="B134" s="68" t="s">
        <v>20</v>
      </c>
      <c r="C134" s="388" t="s">
        <v>19</v>
      </c>
      <c r="D134" s="147"/>
      <c r="E134" s="68" t="s">
        <v>20</v>
      </c>
      <c r="F134" s="141" t="s">
        <v>19</v>
      </c>
      <c r="G134" s="64"/>
      <c r="H134" s="64"/>
      <c r="I134" s="64"/>
      <c r="J134" s="64"/>
      <c r="K134" s="64"/>
      <c r="L134" s="64"/>
    </row>
    <row r="135" spans="2:13" ht="18" thickBot="1" x14ac:dyDescent="0.35">
      <c r="B135" s="70" t="s">
        <v>255</v>
      </c>
      <c r="C135" s="389">
        <f>SUM(C133:C134)</f>
        <v>2E-3</v>
      </c>
      <c r="D135" s="148">
        <f>SUM(D133:D134)</f>
        <v>2.981E-2</v>
      </c>
      <c r="E135" s="68" t="s">
        <v>49</v>
      </c>
      <c r="F135" s="141" t="s">
        <v>19</v>
      </c>
      <c r="G135" s="64"/>
      <c r="H135" s="64"/>
      <c r="I135" s="64"/>
      <c r="J135" s="64"/>
      <c r="K135" s="64"/>
      <c r="L135" s="64"/>
    </row>
    <row r="136" spans="2:13" ht="18" thickBot="1" x14ac:dyDescent="0.35">
      <c r="B136" s="31"/>
      <c r="D136" s="31"/>
      <c r="E136" s="70" t="s">
        <v>255</v>
      </c>
      <c r="F136" s="150">
        <v>0.04</v>
      </c>
      <c r="G136" s="64"/>
      <c r="H136" s="64"/>
      <c r="I136" s="64"/>
      <c r="J136" s="64"/>
      <c r="K136" s="64"/>
      <c r="L136" s="64"/>
    </row>
    <row r="137" spans="2:13" ht="17.25" x14ac:dyDescent="0.3">
      <c r="B137" s="31"/>
      <c r="C137" s="31"/>
      <c r="D137" s="64"/>
      <c r="E137" s="64"/>
      <c r="F137" s="64"/>
      <c r="G137" s="64"/>
      <c r="H137" s="64"/>
      <c r="I137" s="64"/>
      <c r="J137" s="64"/>
      <c r="K137" s="64"/>
      <c r="L137" s="64"/>
      <c r="M137" s="1"/>
    </row>
    <row r="138" spans="2:13" ht="17.25" x14ac:dyDescent="0.3">
      <c r="B138" s="64"/>
      <c r="C138" s="64"/>
      <c r="D138" s="64"/>
      <c r="E138" s="64"/>
      <c r="F138" s="64"/>
      <c r="G138" s="64"/>
      <c r="H138" s="64"/>
      <c r="I138" s="64"/>
      <c r="J138" s="64"/>
      <c r="K138" s="31"/>
      <c r="L138" s="31"/>
    </row>
    <row r="139" spans="2:13" ht="20.25" x14ac:dyDescent="0.3">
      <c r="B139" s="104" t="s">
        <v>285</v>
      </c>
      <c r="C139" s="104"/>
      <c r="D139" s="64"/>
      <c r="E139" s="64"/>
      <c r="F139" s="64"/>
      <c r="G139" s="64"/>
      <c r="H139" s="64"/>
      <c r="I139" s="64"/>
      <c r="J139" s="64"/>
      <c r="K139" s="31"/>
      <c r="L139" s="31"/>
    </row>
    <row r="140" spans="2:13" ht="17.25" x14ac:dyDescent="0.3">
      <c r="B140" s="63"/>
      <c r="C140" s="63"/>
      <c r="D140" s="64"/>
      <c r="E140" s="64"/>
      <c r="F140" s="64"/>
      <c r="G140" s="64"/>
      <c r="H140" s="64"/>
      <c r="I140" s="64"/>
      <c r="J140" s="64"/>
      <c r="K140" s="31"/>
      <c r="L140" s="31"/>
    </row>
    <row r="141" spans="2:13" ht="17.25" x14ac:dyDescent="0.3">
      <c r="B141" s="65" t="s">
        <v>286</v>
      </c>
      <c r="C141" s="65"/>
      <c r="D141" s="59"/>
      <c r="E141" s="59"/>
      <c r="F141" s="59"/>
      <c r="G141" s="59"/>
      <c r="H141" s="59"/>
      <c r="I141" s="59"/>
      <c r="J141" s="59"/>
      <c r="K141" s="59"/>
      <c r="L141" s="77"/>
    </row>
    <row r="142" spans="2:13" ht="6" customHeight="1" thickBot="1" x14ac:dyDescent="0.35">
      <c r="B142" s="63"/>
      <c r="C142" s="63"/>
      <c r="D142" s="64"/>
      <c r="E142" s="31"/>
      <c r="F142" s="64"/>
      <c r="G142" s="64"/>
      <c r="H142" s="64"/>
      <c r="I142" s="64"/>
      <c r="J142" s="64"/>
      <c r="K142" s="64"/>
      <c r="L142" s="31"/>
    </row>
    <row r="143" spans="2:13" ht="35.25" x14ac:dyDescent="0.3">
      <c r="B143" s="67"/>
      <c r="C143" s="67" t="s">
        <v>7</v>
      </c>
      <c r="D143" s="67" t="s">
        <v>8</v>
      </c>
      <c r="E143" s="67"/>
      <c r="F143" s="67" t="s">
        <v>26</v>
      </c>
      <c r="G143" s="67" t="s">
        <v>287</v>
      </c>
      <c r="H143" s="67" t="s">
        <v>288</v>
      </c>
      <c r="I143" s="67" t="s">
        <v>27</v>
      </c>
      <c r="J143" s="67"/>
      <c r="K143" s="67" t="s">
        <v>289</v>
      </c>
      <c r="L143" s="31"/>
    </row>
    <row r="144" spans="2:13" ht="17.25" x14ac:dyDescent="0.3">
      <c r="B144" s="79" t="s">
        <v>6</v>
      </c>
      <c r="C144" s="154">
        <v>65.575999999999993</v>
      </c>
      <c r="D144" s="154">
        <f>109679.350601713/1000</f>
        <v>109.679350601713</v>
      </c>
      <c r="E144" s="79" t="s">
        <v>6</v>
      </c>
      <c r="F144" s="151">
        <f>SUM(F145:F148)</f>
        <v>120.75928733606402</v>
      </c>
      <c r="G144" s="151">
        <f>SUM(G145:G148)</f>
        <v>122.51529640402924</v>
      </c>
      <c r="H144" s="79">
        <f>SUM(H145:H148)</f>
        <v>132.30000000000001</v>
      </c>
      <c r="I144" s="158" t="s">
        <v>290</v>
      </c>
      <c r="J144" s="161" t="s">
        <v>6</v>
      </c>
      <c r="K144" s="162">
        <v>123.54</v>
      </c>
      <c r="L144" s="31"/>
    </row>
    <row r="145" spans="2:14" ht="17.25" x14ac:dyDescent="0.3">
      <c r="B145" s="68" t="s">
        <v>291</v>
      </c>
      <c r="C145" s="155">
        <f>(2.777+51.191)</f>
        <v>53.968000000000004</v>
      </c>
      <c r="D145" s="155">
        <f>90751.2851063145/1000</f>
        <v>90.751285106314512</v>
      </c>
      <c r="E145" s="68" t="s">
        <v>291</v>
      </c>
      <c r="F145" s="152">
        <v>95.709614207088251</v>
      </c>
      <c r="G145" s="152">
        <v>96.245919387537327</v>
      </c>
      <c r="H145" s="68">
        <v>105.65</v>
      </c>
      <c r="I145" s="124" t="s">
        <v>292</v>
      </c>
      <c r="J145" s="163" t="s">
        <v>291</v>
      </c>
      <c r="K145" s="164">
        <v>54.79</v>
      </c>
      <c r="L145" s="31"/>
      <c r="M145" s="1"/>
    </row>
    <row r="146" spans="2:14" ht="17.25" x14ac:dyDescent="0.3">
      <c r="B146" s="68" t="s">
        <v>293</v>
      </c>
      <c r="C146" s="155">
        <v>10.348000000000001</v>
      </c>
      <c r="D146" s="155">
        <f>13520.8812105423/1000</f>
        <v>13.520881210542301</v>
      </c>
      <c r="E146" s="68" t="s">
        <v>293</v>
      </c>
      <c r="F146" s="152">
        <v>19.164962679190896</v>
      </c>
      <c r="G146" s="152">
        <v>20.439664016491921</v>
      </c>
      <c r="H146" s="68">
        <v>19.53</v>
      </c>
      <c r="I146" s="201">
        <v>19.138999999999999</v>
      </c>
      <c r="J146" s="163" t="s">
        <v>293</v>
      </c>
      <c r="K146" s="164">
        <v>20.12</v>
      </c>
      <c r="L146" s="31"/>
      <c r="M146" s="1"/>
    </row>
    <row r="147" spans="2:14" ht="17.25" x14ac:dyDescent="0.3">
      <c r="B147" s="85" t="s">
        <v>48</v>
      </c>
      <c r="C147" s="156">
        <v>1.26</v>
      </c>
      <c r="D147" s="156">
        <f>1428.00269107356/1000</f>
        <v>1.4280026910735601</v>
      </c>
      <c r="E147" s="68" t="s">
        <v>49</v>
      </c>
      <c r="F147" s="152">
        <v>4.456425775550791</v>
      </c>
      <c r="G147" s="152">
        <v>4.3778045000000008</v>
      </c>
      <c r="H147" s="68">
        <v>5.54</v>
      </c>
      <c r="I147" s="124" t="s">
        <v>294</v>
      </c>
      <c r="J147" s="163" t="s">
        <v>49</v>
      </c>
      <c r="K147" s="164">
        <v>3.74</v>
      </c>
      <c r="L147" s="31"/>
    </row>
    <row r="148" spans="2:14" ht="18" thickBot="1" x14ac:dyDescent="0.35">
      <c r="B148" s="31"/>
      <c r="D148" s="157"/>
      <c r="E148" s="85" t="s">
        <v>48</v>
      </c>
      <c r="F148" s="153">
        <v>1.4282846742340927</v>
      </c>
      <c r="G148" s="153">
        <v>1.4519085000000003</v>
      </c>
      <c r="H148" s="85">
        <v>1.58</v>
      </c>
      <c r="I148" s="160">
        <v>2</v>
      </c>
      <c r="J148" s="163" t="s">
        <v>48</v>
      </c>
      <c r="K148" s="164">
        <v>0.11</v>
      </c>
      <c r="L148" s="31"/>
    </row>
    <row r="149" spans="2:14" ht="17.25" x14ac:dyDescent="0.3">
      <c r="B149" s="346"/>
      <c r="I149" s="157"/>
      <c r="J149" s="165" t="s">
        <v>93</v>
      </c>
      <c r="K149" s="165">
        <v>44.78</v>
      </c>
      <c r="L149" s="31"/>
    </row>
    <row r="150" spans="2:14" ht="17.25" x14ac:dyDescent="0.3">
      <c r="B150" s="63"/>
      <c r="C150" s="63"/>
      <c r="D150" s="64"/>
      <c r="E150" s="64"/>
      <c r="F150" s="64"/>
      <c r="G150" s="64"/>
      <c r="H150" s="64"/>
      <c r="I150" s="64"/>
      <c r="J150" s="64"/>
      <c r="K150" s="31"/>
      <c r="L150" s="31"/>
    </row>
    <row r="151" spans="2:14" ht="17.25" x14ac:dyDescent="0.3">
      <c r="B151" s="65" t="s">
        <v>295</v>
      </c>
      <c r="C151" s="65"/>
      <c r="D151" s="59"/>
      <c r="E151" s="59"/>
      <c r="F151" s="59"/>
      <c r="G151" s="59"/>
      <c r="H151" s="59"/>
      <c r="I151" s="59"/>
      <c r="J151" s="59"/>
      <c r="K151" s="59"/>
      <c r="L151" s="77"/>
    </row>
    <row r="152" spans="2:14" ht="6" customHeight="1" thickBot="1" x14ac:dyDescent="0.35">
      <c r="B152" s="63"/>
      <c r="C152" s="63"/>
      <c r="D152" s="64"/>
      <c r="E152" s="31"/>
      <c r="F152" s="64"/>
      <c r="G152" s="64"/>
      <c r="H152" s="64"/>
      <c r="I152" s="64"/>
      <c r="J152" s="64"/>
      <c r="K152" s="64"/>
      <c r="L152" s="31"/>
    </row>
    <row r="153" spans="2:14" ht="42.75" x14ac:dyDescent="0.3">
      <c r="B153" s="67"/>
      <c r="C153" s="67" t="s">
        <v>7</v>
      </c>
      <c r="D153" s="67" t="s">
        <v>8</v>
      </c>
      <c r="E153" s="67"/>
      <c r="F153" s="67" t="s">
        <v>26</v>
      </c>
      <c r="G153" s="67" t="s">
        <v>296</v>
      </c>
      <c r="H153" s="67" t="s">
        <v>288</v>
      </c>
      <c r="I153" s="67" t="s">
        <v>27</v>
      </c>
      <c r="J153" s="67"/>
      <c r="K153" s="67" t="s">
        <v>297</v>
      </c>
      <c r="L153" s="31"/>
    </row>
    <row r="154" spans="2:14" ht="28.5" x14ac:dyDescent="0.3">
      <c r="B154" s="79" t="s">
        <v>6</v>
      </c>
      <c r="C154" s="169">
        <v>570.76</v>
      </c>
      <c r="D154" s="169">
        <v>1185.595569135239</v>
      </c>
      <c r="E154" s="79" t="s">
        <v>6</v>
      </c>
      <c r="F154" s="166">
        <f>SUM(F155:F158)</f>
        <v>1468.0926355798863</v>
      </c>
      <c r="G154" s="166">
        <f>SUM(G155:G158)</f>
        <v>1552.0028826768105</v>
      </c>
      <c r="H154" s="166">
        <v>1163.9114852996252</v>
      </c>
      <c r="I154" s="166" t="s">
        <v>298</v>
      </c>
      <c r="J154" s="161" t="s">
        <v>6</v>
      </c>
      <c r="K154" s="166">
        <v>1310.83</v>
      </c>
      <c r="L154" s="31"/>
    </row>
    <row r="155" spans="2:14" ht="17.25" x14ac:dyDescent="0.3">
      <c r="B155" s="68" t="s">
        <v>291</v>
      </c>
      <c r="C155" s="170">
        <f>401.85+36.79</f>
        <v>438.64000000000004</v>
      </c>
      <c r="D155" s="170">
        <v>979.63456860444148</v>
      </c>
      <c r="E155" s="68" t="s">
        <v>291</v>
      </c>
      <c r="F155" s="167">
        <v>1178.8257906415058</v>
      </c>
      <c r="G155" s="167">
        <v>1205.64199565491</v>
      </c>
      <c r="H155" s="167">
        <v>855.52869577703905</v>
      </c>
      <c r="I155" s="159">
        <v>911.02</v>
      </c>
      <c r="J155" s="163" t="s">
        <v>291</v>
      </c>
      <c r="K155" s="167">
        <v>554.35500000000002</v>
      </c>
      <c r="L155" s="31"/>
      <c r="M155" s="1"/>
    </row>
    <row r="156" spans="2:14" ht="17.25" x14ac:dyDescent="0.3">
      <c r="B156" s="68" t="s">
        <v>293</v>
      </c>
      <c r="C156" s="170">
        <f>122.43</f>
        <v>122.43</v>
      </c>
      <c r="D156" s="170">
        <v>143.94282189249762</v>
      </c>
      <c r="E156" s="68" t="s">
        <v>293</v>
      </c>
      <c r="F156" s="167">
        <v>214.65268223176753</v>
      </c>
      <c r="G156" s="167">
        <v>227.97548598991031</v>
      </c>
      <c r="H156" s="167">
        <v>224.7401087803764</v>
      </c>
      <c r="I156" s="231">
        <v>219.29599999999999</v>
      </c>
      <c r="J156" s="163" t="s">
        <v>293</v>
      </c>
      <c r="K156" s="167">
        <v>231.94</v>
      </c>
      <c r="L156" s="31"/>
      <c r="M156" s="1"/>
      <c r="N156" s="1"/>
    </row>
    <row r="157" spans="2:14" ht="17.25" x14ac:dyDescent="0.3">
      <c r="B157" s="85" t="s">
        <v>48</v>
      </c>
      <c r="C157" s="171">
        <v>9.6999999999999993</v>
      </c>
      <c r="D157" s="171">
        <v>12</v>
      </c>
      <c r="E157" s="68" t="s">
        <v>49</v>
      </c>
      <c r="F157" s="167">
        <v>64.571596846216934</v>
      </c>
      <c r="G157" s="167">
        <v>59.192700515995135</v>
      </c>
      <c r="H157" s="167">
        <v>73.376254778217771</v>
      </c>
      <c r="I157" s="176" t="s">
        <v>299</v>
      </c>
      <c r="J157" s="163" t="s">
        <v>49</v>
      </c>
      <c r="K157" s="167">
        <v>46.53</v>
      </c>
      <c r="L157" s="31"/>
    </row>
    <row r="158" spans="2:14" ht="18" thickBot="1" x14ac:dyDescent="0.35">
      <c r="B158" s="31"/>
      <c r="D158" s="157"/>
      <c r="E158" s="85" t="s">
        <v>48</v>
      </c>
      <c r="F158" s="168">
        <v>10.042565860395998</v>
      </c>
      <c r="G158" s="168">
        <v>59.192700515995135</v>
      </c>
      <c r="H158" s="168">
        <v>10.266425963991784</v>
      </c>
      <c r="I158" s="160">
        <v>12.86</v>
      </c>
      <c r="J158" s="163" t="s">
        <v>48</v>
      </c>
      <c r="K158" s="167">
        <v>0.46</v>
      </c>
      <c r="L158" s="31"/>
    </row>
    <row r="159" spans="2:14" ht="18" thickBot="1" x14ac:dyDescent="0.35">
      <c r="B159" s="64"/>
      <c r="D159" s="31"/>
      <c r="E159" s="31"/>
      <c r="F159" s="31"/>
      <c r="G159" s="31"/>
      <c r="H159" s="31"/>
      <c r="I159" s="157"/>
      <c r="J159" s="165" t="s">
        <v>93</v>
      </c>
      <c r="K159" s="168">
        <v>478.01</v>
      </c>
      <c r="L159" s="64"/>
    </row>
    <row r="160" spans="2:14" ht="17.25" x14ac:dyDescent="0.3">
      <c r="B160" s="40"/>
      <c r="C160" s="63"/>
      <c r="D160" s="40"/>
      <c r="E160" s="40"/>
      <c r="F160" s="40"/>
      <c r="G160" s="40"/>
      <c r="H160" s="40"/>
      <c r="I160" s="64"/>
      <c r="J160" s="64"/>
      <c r="K160" s="64"/>
      <c r="L160" s="31"/>
    </row>
    <row r="161" spans="2:12" ht="17.25" x14ac:dyDescent="0.3">
      <c r="B161" s="65" t="s">
        <v>300</v>
      </c>
      <c r="C161" s="65"/>
      <c r="D161" s="59"/>
      <c r="E161" s="59"/>
      <c r="F161" s="59"/>
      <c r="G161" s="59"/>
      <c r="H161" s="59"/>
      <c r="I161" s="59"/>
      <c r="J161" s="59"/>
      <c r="K161" s="59"/>
      <c r="L161" s="77"/>
    </row>
    <row r="162" spans="2:12" ht="6" customHeight="1" thickBot="1" x14ac:dyDescent="0.35">
      <c r="B162" s="63"/>
      <c r="C162" s="63"/>
      <c r="D162" s="64"/>
      <c r="E162" s="31"/>
      <c r="F162" s="64"/>
      <c r="G162" s="64"/>
      <c r="H162" s="64"/>
      <c r="I162" s="64"/>
      <c r="J162" s="64"/>
      <c r="K162" s="64"/>
      <c r="L162" s="31"/>
    </row>
    <row r="163" spans="2:12" ht="17.25" x14ac:dyDescent="0.3">
      <c r="B163" s="67" t="s">
        <v>7</v>
      </c>
      <c r="C163" s="67" t="s">
        <v>8</v>
      </c>
      <c r="D163" s="67" t="s">
        <v>301</v>
      </c>
      <c r="E163" s="67" t="s">
        <v>10</v>
      </c>
      <c r="F163" s="67" t="s">
        <v>27</v>
      </c>
      <c r="G163" s="64"/>
      <c r="H163" s="64"/>
      <c r="I163" s="31"/>
      <c r="J163" s="31"/>
      <c r="K163" s="31"/>
      <c r="L163" s="64"/>
    </row>
    <row r="164" spans="2:12" ht="18" thickBot="1" x14ac:dyDescent="0.35">
      <c r="B164" s="172">
        <v>0.13</v>
      </c>
      <c r="C164" s="172">
        <v>0.2</v>
      </c>
      <c r="D164" s="172" t="s">
        <v>302</v>
      </c>
      <c r="E164" s="172">
        <v>0.18</v>
      </c>
      <c r="F164" s="172" t="s">
        <v>303</v>
      </c>
      <c r="G164" s="64"/>
      <c r="H164" s="64"/>
      <c r="I164" s="31"/>
      <c r="J164" s="31"/>
      <c r="K164" s="31"/>
      <c r="L164" s="64"/>
    </row>
    <row r="165" spans="2:12" ht="17.25" x14ac:dyDescent="0.3">
      <c r="B165" s="345" t="s">
        <v>304</v>
      </c>
      <c r="C165" s="63"/>
      <c r="D165" s="64"/>
      <c r="E165" s="64"/>
      <c r="F165" s="64"/>
      <c r="G165" s="64"/>
      <c r="H165" s="64"/>
      <c r="I165" s="64"/>
      <c r="J165" s="64"/>
      <c r="K165" s="64"/>
      <c r="L165" s="31"/>
    </row>
    <row r="166" spans="2:12" ht="17.25" x14ac:dyDescent="0.3">
      <c r="B166" s="65" t="s">
        <v>305</v>
      </c>
      <c r="C166" s="65"/>
      <c r="D166" s="59"/>
      <c r="E166" s="59"/>
      <c r="F166" s="59"/>
      <c r="G166" s="59"/>
      <c r="H166" s="59"/>
      <c r="I166" s="59"/>
      <c r="J166" s="59"/>
      <c r="K166" s="59"/>
      <c r="L166" s="77"/>
    </row>
    <row r="167" spans="2:12" ht="6" customHeight="1" thickBot="1" x14ac:dyDescent="0.35">
      <c r="B167" s="63"/>
      <c r="C167" s="63"/>
      <c r="D167" s="64"/>
      <c r="E167" s="31"/>
      <c r="F167" s="64"/>
      <c r="G167" s="64"/>
      <c r="H167" s="64"/>
      <c r="I167" s="64"/>
      <c r="J167" s="64"/>
      <c r="K167" s="64"/>
      <c r="L167" s="31"/>
    </row>
    <row r="168" spans="2:12" ht="18" thickBot="1" x14ac:dyDescent="0.35">
      <c r="B168" s="415" t="s">
        <v>147</v>
      </c>
      <c r="C168" s="415"/>
      <c r="D168" s="417" t="s">
        <v>255</v>
      </c>
      <c r="E168" s="417"/>
      <c r="F168" s="417" t="s">
        <v>306</v>
      </c>
      <c r="G168" s="417"/>
      <c r="H168" s="417" t="s">
        <v>307</v>
      </c>
      <c r="I168" s="417"/>
      <c r="J168" s="64"/>
      <c r="K168" s="64"/>
      <c r="L168" s="31"/>
    </row>
    <row r="169" spans="2:12" ht="18" thickBot="1" x14ac:dyDescent="0.35">
      <c r="B169" s="416"/>
      <c r="C169" s="416"/>
      <c r="D169" s="173" t="s">
        <v>308</v>
      </c>
      <c r="E169" s="173" t="s">
        <v>309</v>
      </c>
      <c r="F169" s="173" t="s">
        <v>308</v>
      </c>
      <c r="G169" s="173" t="s">
        <v>309</v>
      </c>
      <c r="H169" s="173" t="s">
        <v>308</v>
      </c>
      <c r="I169" s="173" t="s">
        <v>309</v>
      </c>
      <c r="J169" s="106"/>
      <c r="K169" s="64"/>
      <c r="L169" s="31"/>
    </row>
    <row r="170" spans="2:12" ht="17.25" x14ac:dyDescent="0.3">
      <c r="B170" s="82" t="s">
        <v>7</v>
      </c>
      <c r="C170" s="82" t="s">
        <v>6</v>
      </c>
      <c r="D170" s="174">
        <v>65.575999999999993</v>
      </c>
      <c r="E170" s="174">
        <v>570.76</v>
      </c>
      <c r="F170" s="174">
        <v>29.904</v>
      </c>
      <c r="G170" s="174">
        <v>234.74</v>
      </c>
      <c r="H170" s="174">
        <v>35.673000000000002</v>
      </c>
      <c r="I170" s="174">
        <v>336.03</v>
      </c>
      <c r="J170" s="31"/>
      <c r="K170" s="31"/>
      <c r="L170" s="31"/>
    </row>
    <row r="171" spans="2:12" ht="17.25" x14ac:dyDescent="0.3">
      <c r="B171" s="79"/>
      <c r="C171" s="68" t="s">
        <v>310</v>
      </c>
      <c r="D171" s="175">
        <f t="shared" ref="D171:I171" si="0">SUM(D172:D174)</f>
        <v>53.97</v>
      </c>
      <c r="E171" s="175">
        <f t="shared" si="0"/>
        <v>438.64</v>
      </c>
      <c r="F171" s="175">
        <f t="shared" si="0"/>
        <v>25.332999999999998</v>
      </c>
      <c r="G171" s="175">
        <f t="shared" si="0"/>
        <v>178.70000000000002</v>
      </c>
      <c r="H171" s="175">
        <f t="shared" si="0"/>
        <v>27.768999999999998</v>
      </c>
      <c r="I171" s="175">
        <f t="shared" si="0"/>
        <v>259.34000000000003</v>
      </c>
      <c r="J171" s="64"/>
      <c r="K171" s="31"/>
      <c r="L171" s="31"/>
    </row>
    <row r="172" spans="2:12" ht="17.25" x14ac:dyDescent="0.3">
      <c r="B172" s="79"/>
      <c r="C172" s="68" t="s">
        <v>45</v>
      </c>
      <c r="D172" s="176">
        <f>13.85+0.022</f>
        <v>13.872</v>
      </c>
      <c r="E172" s="176">
        <f>168.91+0.6</f>
        <v>169.51</v>
      </c>
      <c r="F172" s="176">
        <f>6.874+0.001</f>
        <v>6.875</v>
      </c>
      <c r="G172" s="176">
        <f>84.73+0.01</f>
        <v>84.740000000000009</v>
      </c>
      <c r="H172" s="176">
        <v>6.9749999999999996</v>
      </c>
      <c r="I172" s="176">
        <v>84.18</v>
      </c>
      <c r="J172" s="64"/>
      <c r="K172" s="31"/>
      <c r="L172" s="31"/>
    </row>
    <row r="173" spans="2:12" ht="17.25" x14ac:dyDescent="0.3">
      <c r="B173" s="79"/>
      <c r="C173" s="68" t="s">
        <v>311</v>
      </c>
      <c r="D173" s="176">
        <f>17.89+2.777</f>
        <v>20.667000000000002</v>
      </c>
      <c r="E173" s="176">
        <f>119.21+36.79</f>
        <v>156</v>
      </c>
      <c r="F173" s="176">
        <f>10.789+1.932</f>
        <v>12.721</v>
      </c>
      <c r="G173" s="176">
        <f>44.99+20.94</f>
        <v>65.930000000000007</v>
      </c>
      <c r="H173" s="176">
        <v>7.1</v>
      </c>
      <c r="I173" s="176">
        <f>74.22+15.85</f>
        <v>90.07</v>
      </c>
      <c r="J173" s="64"/>
      <c r="K173" s="31"/>
      <c r="L173" s="31"/>
    </row>
    <row r="174" spans="2:12" ht="17.25" x14ac:dyDescent="0.3">
      <c r="B174" s="79"/>
      <c r="C174" s="68" t="s">
        <v>47</v>
      </c>
      <c r="D174" s="176">
        <v>19.431000000000001</v>
      </c>
      <c r="E174" s="176">
        <v>113.13</v>
      </c>
      <c r="F174" s="176">
        <v>5.7370000000000001</v>
      </c>
      <c r="G174" s="176">
        <v>28.03</v>
      </c>
      <c r="H174" s="176">
        <v>13.694000000000001</v>
      </c>
      <c r="I174" s="176">
        <v>85.09</v>
      </c>
      <c r="J174" s="64"/>
      <c r="K174" s="31"/>
      <c r="L174" s="31"/>
    </row>
    <row r="175" spans="2:12" ht="17.25" x14ac:dyDescent="0.3">
      <c r="B175" s="79"/>
      <c r="C175" s="68" t="s">
        <v>20</v>
      </c>
      <c r="D175" s="176">
        <v>10.348000000000001</v>
      </c>
      <c r="E175" s="176">
        <v>122.43</v>
      </c>
      <c r="F175" s="176">
        <v>4.5709999999999997</v>
      </c>
      <c r="G175" s="176">
        <v>56.03</v>
      </c>
      <c r="H175" s="176">
        <v>5.7770000000000001</v>
      </c>
      <c r="I175" s="176">
        <v>66.39</v>
      </c>
      <c r="J175" s="64"/>
      <c r="K175" s="31"/>
      <c r="L175" s="31"/>
    </row>
    <row r="176" spans="2:12" ht="17.25" x14ac:dyDescent="0.3">
      <c r="B176" s="70"/>
      <c r="C176" s="85" t="s">
        <v>48</v>
      </c>
      <c r="D176" s="182">
        <v>1.26</v>
      </c>
      <c r="E176" s="182">
        <v>9.6999999999999993</v>
      </c>
      <c r="F176" s="182">
        <v>0</v>
      </c>
      <c r="G176" s="182">
        <v>0</v>
      </c>
      <c r="H176" s="182">
        <v>1.26</v>
      </c>
      <c r="I176" s="182">
        <v>9.6999999999999993</v>
      </c>
      <c r="J176" s="64"/>
      <c r="K176" s="31"/>
      <c r="L176" s="31"/>
    </row>
    <row r="177" spans="2:12" ht="17.25" x14ac:dyDescent="0.3">
      <c r="B177" s="82" t="s">
        <v>8</v>
      </c>
      <c r="C177" s="82" t="s">
        <v>6</v>
      </c>
      <c r="D177" s="174">
        <f t="shared" ref="D177:I177" si="1">SUM(D179:D184)</f>
        <v>109.68001537254416</v>
      </c>
      <c r="E177" s="174">
        <f t="shared" si="1"/>
        <v>1197.9999999999998</v>
      </c>
      <c r="F177" s="174">
        <f t="shared" si="1"/>
        <v>64.397536464485526</v>
      </c>
      <c r="G177" s="174">
        <f t="shared" si="1"/>
        <v>918</v>
      </c>
      <c r="H177" s="174">
        <f t="shared" si="1"/>
        <v>45.282478908058614</v>
      </c>
      <c r="I177" s="174">
        <f t="shared" si="1"/>
        <v>280</v>
      </c>
      <c r="J177" s="31"/>
      <c r="K177" s="31"/>
      <c r="L177" s="31"/>
    </row>
    <row r="178" spans="2:12" ht="17.25" x14ac:dyDescent="0.3">
      <c r="B178" s="79"/>
      <c r="C178" s="68" t="s">
        <v>310</v>
      </c>
      <c r="D178" s="175">
        <f t="shared" ref="D178:I178" si="2">SUM(D179:D181)</f>
        <v>90.390015372544156</v>
      </c>
      <c r="E178" s="175">
        <f t="shared" si="2"/>
        <v>1038.5999999999999</v>
      </c>
      <c r="F178" s="175">
        <f t="shared" si="2"/>
        <v>57.483536464485525</v>
      </c>
      <c r="G178" s="175">
        <f t="shared" si="2"/>
        <v>830</v>
      </c>
      <c r="H178" s="175">
        <f t="shared" si="2"/>
        <v>32.906478908058617</v>
      </c>
      <c r="I178" s="175">
        <f t="shared" si="2"/>
        <v>208.6</v>
      </c>
      <c r="J178" s="64"/>
      <c r="K178" s="31"/>
      <c r="L178" s="31"/>
    </row>
    <row r="179" spans="2:12" ht="17.25" x14ac:dyDescent="0.3">
      <c r="B179" s="79"/>
      <c r="C179" s="68" t="s">
        <v>45</v>
      </c>
      <c r="D179" s="176">
        <f>F179+H179</f>
        <v>54.213999999999999</v>
      </c>
      <c r="E179" s="176">
        <f t="shared" ref="E179:E183" si="3">SUM(G179,I179)</f>
        <v>692.5</v>
      </c>
      <c r="F179" s="176">
        <f>42113/1000</f>
        <v>42.113</v>
      </c>
      <c r="G179" s="176">
        <v>577</v>
      </c>
      <c r="H179" s="176">
        <f>12101/1000</f>
        <v>12.101000000000001</v>
      </c>
      <c r="I179" s="176">
        <v>115.5</v>
      </c>
      <c r="J179" s="64"/>
      <c r="K179" s="31"/>
      <c r="L179" s="31"/>
    </row>
    <row r="180" spans="2:12" ht="17.25" x14ac:dyDescent="0.3">
      <c r="B180" s="79"/>
      <c r="C180" s="68" t="s">
        <v>311</v>
      </c>
      <c r="D180" s="176">
        <f t="shared" ref="D180:D183" si="4">F180+H180</f>
        <v>16.45555299796677</v>
      </c>
      <c r="E180" s="176">
        <f t="shared" si="3"/>
        <v>204.6</v>
      </c>
      <c r="F180" s="176">
        <f>9509.89494824505/1000</f>
        <v>9.5098949482450497</v>
      </c>
      <c r="G180" s="176">
        <v>172</v>
      </c>
      <c r="H180" s="176">
        <f>6945.65804972172/1000</f>
        <v>6.94565804972172</v>
      </c>
      <c r="I180" s="176">
        <v>32.6</v>
      </c>
      <c r="J180" s="64"/>
      <c r="K180" s="31"/>
      <c r="L180" s="31"/>
    </row>
    <row r="181" spans="2:12" ht="17.25" x14ac:dyDescent="0.3">
      <c r="B181" s="79"/>
      <c r="C181" s="68" t="s">
        <v>47</v>
      </c>
      <c r="D181" s="176">
        <f t="shared" si="4"/>
        <v>19.72046237457738</v>
      </c>
      <c r="E181" s="176">
        <f t="shared" si="3"/>
        <v>141.5</v>
      </c>
      <c r="F181" s="176">
        <f>5860.64151624048/1000</f>
        <v>5.8606415162404799</v>
      </c>
      <c r="G181" s="176">
        <v>81</v>
      </c>
      <c r="H181" s="176">
        <f>13859.8208583369/1000</f>
        <v>13.859820858336899</v>
      </c>
      <c r="I181" s="176">
        <v>60.5</v>
      </c>
      <c r="J181" s="64"/>
      <c r="K181" s="31"/>
      <c r="L181" s="31"/>
    </row>
    <row r="182" spans="2:12" ht="17.25" x14ac:dyDescent="0.3">
      <c r="B182" s="79"/>
      <c r="C182" s="68" t="s">
        <v>20</v>
      </c>
      <c r="D182" s="176">
        <f t="shared" si="4"/>
        <v>13.521000000000001</v>
      </c>
      <c r="E182" s="176">
        <f t="shared" si="3"/>
        <v>141.10000000000002</v>
      </c>
      <c r="F182" s="176">
        <f>4710/1000</f>
        <v>4.71</v>
      </c>
      <c r="G182" s="176">
        <v>83.9</v>
      </c>
      <c r="H182" s="176">
        <f>8811/1000</f>
        <v>8.8109999999999999</v>
      </c>
      <c r="I182" s="176">
        <v>57.2</v>
      </c>
      <c r="J182" s="64"/>
      <c r="K182" s="31"/>
      <c r="L182" s="31"/>
    </row>
    <row r="183" spans="2:12" ht="18" thickBot="1" x14ac:dyDescent="0.35">
      <c r="B183" s="70"/>
      <c r="C183" s="85" t="s">
        <v>48</v>
      </c>
      <c r="D183" s="182">
        <f t="shared" si="4"/>
        <v>5.7690000000000001</v>
      </c>
      <c r="E183" s="182">
        <f t="shared" si="3"/>
        <v>18.299999999999997</v>
      </c>
      <c r="F183" s="182">
        <f>2204/1000</f>
        <v>2.2040000000000002</v>
      </c>
      <c r="G183" s="182">
        <v>4.0999999999999996</v>
      </c>
      <c r="H183" s="182">
        <f>(2137+1428)/1000</f>
        <v>3.5649999999999999</v>
      </c>
      <c r="I183" s="182">
        <f>4.7+9.5</f>
        <v>14.2</v>
      </c>
      <c r="J183" s="64"/>
      <c r="K183" s="31"/>
      <c r="L183" s="31"/>
    </row>
    <row r="184" spans="2:12" ht="18" hidden="1" thickBot="1" x14ac:dyDescent="0.35">
      <c r="B184" s="93"/>
      <c r="C184" s="94"/>
      <c r="D184" s="105"/>
      <c r="E184" s="105"/>
      <c r="F184" s="105"/>
      <c r="G184" s="105"/>
      <c r="H184" s="105"/>
      <c r="I184" s="105"/>
      <c r="J184" s="64"/>
      <c r="K184" s="31"/>
      <c r="L184" s="31"/>
    </row>
    <row r="185" spans="2:12" ht="17.25" x14ac:dyDescent="0.3">
      <c r="B185" s="82" t="s">
        <v>26</v>
      </c>
      <c r="C185" s="82" t="s">
        <v>6</v>
      </c>
      <c r="D185" s="174">
        <v>120.76</v>
      </c>
      <c r="E185" s="174">
        <v>1468.09</v>
      </c>
      <c r="F185" s="174">
        <v>78.94</v>
      </c>
      <c r="G185" s="174">
        <v>1151.5</v>
      </c>
      <c r="H185" s="174">
        <v>41.82</v>
      </c>
      <c r="I185" s="174">
        <v>316.58999999999997</v>
      </c>
      <c r="J185" s="107"/>
      <c r="K185" s="31"/>
      <c r="L185" s="31"/>
    </row>
    <row r="186" spans="2:12" ht="17.25" x14ac:dyDescent="0.3">
      <c r="B186" s="79"/>
      <c r="C186" s="68" t="s">
        <v>310</v>
      </c>
      <c r="D186" s="175">
        <v>95.71</v>
      </c>
      <c r="E186" s="175">
        <v>1178.83</v>
      </c>
      <c r="F186" s="175">
        <v>69.17</v>
      </c>
      <c r="G186" s="175">
        <v>967</v>
      </c>
      <c r="H186" s="175">
        <v>26.54</v>
      </c>
      <c r="I186" s="175">
        <v>211.83</v>
      </c>
      <c r="J186" s="64"/>
      <c r="K186" s="31"/>
      <c r="L186" s="31"/>
    </row>
    <row r="187" spans="2:12" ht="17.25" x14ac:dyDescent="0.3">
      <c r="B187" s="79"/>
      <c r="C187" s="68" t="s">
        <v>45</v>
      </c>
      <c r="D187" s="176">
        <v>59.78</v>
      </c>
      <c r="E187" s="176">
        <v>816.91</v>
      </c>
      <c r="F187" s="176">
        <v>46.66</v>
      </c>
      <c r="G187" s="176">
        <v>700.01</v>
      </c>
      <c r="H187" s="176">
        <v>13.12</v>
      </c>
      <c r="I187" s="176">
        <v>116.9</v>
      </c>
      <c r="J187" s="64"/>
      <c r="K187" s="31"/>
      <c r="L187" s="31"/>
    </row>
    <row r="188" spans="2:12" ht="17.25" x14ac:dyDescent="0.3">
      <c r="B188" s="79"/>
      <c r="C188" s="68" t="s">
        <v>311</v>
      </c>
      <c r="D188" s="176">
        <v>15.1</v>
      </c>
      <c r="E188" s="176">
        <v>195.92</v>
      </c>
      <c r="F188" s="176">
        <v>8.6999999999999993</v>
      </c>
      <c r="G188" s="176">
        <v>162.82</v>
      </c>
      <c r="H188" s="176">
        <v>6.4</v>
      </c>
      <c r="I188" s="176">
        <v>33.090000000000003</v>
      </c>
      <c r="J188" s="64"/>
      <c r="K188" s="31"/>
      <c r="L188" s="31"/>
    </row>
    <row r="189" spans="2:12" ht="17.25" x14ac:dyDescent="0.3">
      <c r="B189" s="79"/>
      <c r="C189" s="68" t="s">
        <v>47</v>
      </c>
      <c r="D189" s="176">
        <v>20.83</v>
      </c>
      <c r="E189" s="176">
        <v>166</v>
      </c>
      <c r="F189" s="176">
        <v>13.81</v>
      </c>
      <c r="G189" s="176">
        <v>104.17</v>
      </c>
      <c r="H189" s="176">
        <v>7.02</v>
      </c>
      <c r="I189" s="176">
        <v>61.83</v>
      </c>
      <c r="J189" s="64"/>
      <c r="K189" s="31"/>
      <c r="L189" s="31"/>
    </row>
    <row r="190" spans="2:12" ht="17.25" x14ac:dyDescent="0.3">
      <c r="B190" s="79"/>
      <c r="C190" s="68" t="s">
        <v>20</v>
      </c>
      <c r="D190" s="176">
        <v>19.16</v>
      </c>
      <c r="E190" s="176">
        <v>214.65</v>
      </c>
      <c r="F190" s="176">
        <v>7.73</v>
      </c>
      <c r="G190" s="176">
        <v>137</v>
      </c>
      <c r="H190" s="176">
        <v>11.44</v>
      </c>
      <c r="I190" s="176">
        <v>77.650000000000006</v>
      </c>
      <c r="J190" s="64"/>
      <c r="K190" s="64"/>
      <c r="L190" s="31"/>
    </row>
    <row r="191" spans="2:12" ht="17.25" x14ac:dyDescent="0.3">
      <c r="B191" s="79"/>
      <c r="C191" s="68" t="s">
        <v>49</v>
      </c>
      <c r="D191" s="176">
        <v>4.46</v>
      </c>
      <c r="E191" s="176">
        <v>64.569999999999993</v>
      </c>
      <c r="F191" s="176">
        <v>2.04</v>
      </c>
      <c r="G191" s="176">
        <v>47.47</v>
      </c>
      <c r="H191" s="176">
        <v>2.42</v>
      </c>
      <c r="I191" s="176">
        <v>17.11</v>
      </c>
      <c r="J191" s="64"/>
      <c r="K191" s="64"/>
      <c r="L191" s="31"/>
    </row>
    <row r="192" spans="2:12" ht="18" thickBot="1" x14ac:dyDescent="0.35">
      <c r="B192" s="70"/>
      <c r="C192" s="85" t="s">
        <v>48</v>
      </c>
      <c r="D192" s="177">
        <v>1.43</v>
      </c>
      <c r="E192" s="177">
        <v>10.039999999999999</v>
      </c>
      <c r="F192" s="177">
        <v>0</v>
      </c>
      <c r="G192" s="177">
        <v>0.04</v>
      </c>
      <c r="H192" s="177">
        <v>1.43</v>
      </c>
      <c r="I192" s="177">
        <v>10</v>
      </c>
      <c r="J192" s="64"/>
      <c r="K192" s="64"/>
      <c r="L192" s="31"/>
    </row>
    <row r="193" spans="2:12" ht="17.25" x14ac:dyDescent="0.3">
      <c r="B193" s="82" t="s">
        <v>10</v>
      </c>
      <c r="C193" s="82" t="s">
        <v>6</v>
      </c>
      <c r="D193" s="174">
        <f>SUM(D194,D198:D200)</f>
        <v>122.51529640402927</v>
      </c>
      <c r="E193" s="174">
        <f>SUM(E194,E198:E200)</f>
        <v>1501.9175100030088</v>
      </c>
      <c r="F193" s="174">
        <f t="shared" ref="F193:I193" si="5">SUM(F194,F198:F200)</f>
        <v>74.8759286184563</v>
      </c>
      <c r="G193" s="174">
        <f t="shared" si="5"/>
        <v>1197.720648456472</v>
      </c>
      <c r="H193" s="174">
        <f t="shared" si="5"/>
        <v>47.639367785572965</v>
      </c>
      <c r="I193" s="174">
        <f t="shared" si="5"/>
        <v>304.19686154653664</v>
      </c>
      <c r="J193" s="108"/>
      <c r="K193" s="64"/>
      <c r="L193" s="31"/>
    </row>
    <row r="194" spans="2:12" ht="17.25" x14ac:dyDescent="0.3">
      <c r="B194" s="183" t="s">
        <v>312</v>
      </c>
      <c r="C194" s="68" t="s">
        <v>310</v>
      </c>
      <c r="D194" s="176">
        <v>96.245919387537356</v>
      </c>
      <c r="E194" s="176">
        <v>1205.6419956549107</v>
      </c>
      <c r="F194" s="176">
        <v>64.522273101964387</v>
      </c>
      <c r="G194" s="176">
        <v>1004.9986463550911</v>
      </c>
      <c r="H194" s="176">
        <v>31.723646285572954</v>
      </c>
      <c r="I194" s="176">
        <v>200.64334929981948</v>
      </c>
      <c r="J194" s="64"/>
      <c r="K194" s="64"/>
      <c r="L194" s="31"/>
    </row>
    <row r="195" spans="2:12" ht="17.25" x14ac:dyDescent="0.3">
      <c r="B195" s="79"/>
      <c r="C195" s="68" t="s">
        <v>45</v>
      </c>
      <c r="D195" s="176">
        <v>61.004711054204009</v>
      </c>
      <c r="E195" s="176">
        <v>847.11235364537254</v>
      </c>
      <c r="F195" s="176">
        <v>49.062361268631051</v>
      </c>
      <c r="G195" s="176">
        <v>740.46515533127786</v>
      </c>
      <c r="H195" s="176">
        <v>11.942349785572956</v>
      </c>
      <c r="I195" s="176">
        <v>106.64719831409465</v>
      </c>
      <c r="J195" s="64"/>
      <c r="K195" s="64"/>
      <c r="L195" s="31"/>
    </row>
    <row r="196" spans="2:12" ht="17.25" x14ac:dyDescent="0.3">
      <c r="B196" s="79"/>
      <c r="C196" s="68" t="s">
        <v>311</v>
      </c>
      <c r="D196" s="176">
        <v>14.600604500000001</v>
      </c>
      <c r="E196" s="176">
        <v>198.43557514383915</v>
      </c>
      <c r="F196" s="176">
        <v>8.9119565000000005</v>
      </c>
      <c r="G196" s="176">
        <v>165.72255928386531</v>
      </c>
      <c r="H196" s="176">
        <v>5.6886479999999997</v>
      </c>
      <c r="I196" s="176">
        <v>32.713015859973829</v>
      </c>
      <c r="J196" s="64"/>
      <c r="K196" s="64"/>
      <c r="L196" s="31"/>
    </row>
    <row r="197" spans="2:12" ht="17.25" x14ac:dyDescent="0.3">
      <c r="B197" s="79"/>
      <c r="C197" s="68" t="s">
        <v>47</v>
      </c>
      <c r="D197" s="176">
        <v>20.640603833333337</v>
      </c>
      <c r="E197" s="176">
        <v>160.09406686569889</v>
      </c>
      <c r="F197" s="176">
        <v>6.5479553333333396</v>
      </c>
      <c r="G197" s="176">
        <v>98.810931739947904</v>
      </c>
      <c r="H197" s="176">
        <v>14.092648499999997</v>
      </c>
      <c r="I197" s="176">
        <v>61.283135125750995</v>
      </c>
      <c r="J197" s="64"/>
      <c r="K197" s="64"/>
      <c r="L197" s="31"/>
    </row>
    <row r="198" spans="2:12" ht="17.25" x14ac:dyDescent="0.3">
      <c r="B198" s="79"/>
      <c r="C198" s="68" t="s">
        <v>20</v>
      </c>
      <c r="D198" s="176">
        <v>20.439664016491921</v>
      </c>
      <c r="E198" s="176">
        <v>227.97548598991034</v>
      </c>
      <c r="F198" s="176">
        <v>8.4318745164919164</v>
      </c>
      <c r="G198" s="176">
        <v>150.79460350357206</v>
      </c>
      <c r="H198" s="176">
        <v>12.007789500000007</v>
      </c>
      <c r="I198" s="176">
        <v>77.180882486338263</v>
      </c>
      <c r="J198" s="64"/>
      <c r="K198" s="64"/>
      <c r="L198" s="31"/>
    </row>
    <row r="199" spans="2:12" ht="17.25" x14ac:dyDescent="0.3">
      <c r="B199" s="79"/>
      <c r="C199" s="68" t="s">
        <v>49</v>
      </c>
      <c r="D199" s="176">
        <v>4.3778044999999999</v>
      </c>
      <c r="E199" s="176">
        <v>59.192700515995142</v>
      </c>
      <c r="F199" s="176">
        <v>1.9217810000000006</v>
      </c>
      <c r="G199" s="176">
        <v>41.92739859780896</v>
      </c>
      <c r="H199" s="176">
        <v>2.4560234999999997</v>
      </c>
      <c r="I199" s="176">
        <v>17.265301918186186</v>
      </c>
      <c r="J199" s="64"/>
      <c r="K199" s="64"/>
      <c r="L199" s="31"/>
    </row>
    <row r="200" spans="2:12" ht="18" thickBot="1" x14ac:dyDescent="0.35">
      <c r="B200" s="70"/>
      <c r="C200" s="85" t="s">
        <v>48</v>
      </c>
      <c r="D200" s="177">
        <v>1.4519085000000003</v>
      </c>
      <c r="E200" s="177">
        <v>9.1073278421927135</v>
      </c>
      <c r="F200" s="177">
        <v>0</v>
      </c>
      <c r="G200" s="177">
        <v>0</v>
      </c>
      <c r="H200" s="177">
        <v>1.4519085000000003</v>
      </c>
      <c r="I200" s="177">
        <v>9.1073278421927135</v>
      </c>
      <c r="J200" s="64"/>
      <c r="K200" s="64"/>
      <c r="L200" s="31"/>
    </row>
    <row r="201" spans="2:12" ht="17.25" x14ac:dyDescent="0.3">
      <c r="B201" s="82" t="s">
        <v>288</v>
      </c>
      <c r="C201" s="82" t="s">
        <v>6</v>
      </c>
      <c r="D201" s="174">
        <v>132.35231866995485</v>
      </c>
      <c r="E201" s="174">
        <v>1163.9114852996247</v>
      </c>
      <c r="F201" s="174">
        <v>79.409802819421216</v>
      </c>
      <c r="G201" s="174">
        <v>777.58664154250357</v>
      </c>
      <c r="H201" s="174">
        <v>52.942515850533653</v>
      </c>
      <c r="I201" s="174">
        <v>386.32484375712107</v>
      </c>
      <c r="J201" s="64"/>
      <c r="K201" s="64"/>
      <c r="L201" s="31"/>
    </row>
    <row r="202" spans="2:12" ht="17.25" x14ac:dyDescent="0.3">
      <c r="B202" s="79"/>
      <c r="C202" s="68" t="s">
        <v>310</v>
      </c>
      <c r="D202" s="176">
        <v>105.19396246846784</v>
      </c>
      <c r="E202" s="176">
        <v>855.52869577703871</v>
      </c>
      <c r="F202" s="176">
        <v>68.653510029886149</v>
      </c>
      <c r="G202" s="176">
        <v>587.98452484034669</v>
      </c>
      <c r="H202" s="176">
        <v>36.540452438581703</v>
      </c>
      <c r="I202" s="176">
        <v>267.54417093669201</v>
      </c>
      <c r="J202" s="64"/>
      <c r="K202" s="64"/>
      <c r="L202" s="31"/>
    </row>
    <row r="203" spans="2:12" ht="17.25" x14ac:dyDescent="0.3">
      <c r="B203" s="79"/>
      <c r="C203" s="68" t="s">
        <v>45</v>
      </c>
      <c r="D203" s="176">
        <v>68.806948850210205</v>
      </c>
      <c r="E203" s="176">
        <v>479.02112675390634</v>
      </c>
      <c r="F203" s="176">
        <v>52.275460196468643</v>
      </c>
      <c r="G203" s="176">
        <v>344.63634979783893</v>
      </c>
      <c r="H203" s="176">
        <v>16.531488653741565</v>
      </c>
      <c r="I203" s="176">
        <v>134.38477695606741</v>
      </c>
      <c r="J203" s="64"/>
      <c r="K203" s="64"/>
      <c r="L203" s="31"/>
    </row>
    <row r="204" spans="2:12" ht="17.25" x14ac:dyDescent="0.3">
      <c r="B204" s="79"/>
      <c r="C204" s="68" t="s">
        <v>311</v>
      </c>
      <c r="D204" s="176">
        <v>15.485408860049924</v>
      </c>
      <c r="E204" s="176">
        <v>209.50590629966248</v>
      </c>
      <c r="F204" s="176">
        <v>9.5187951558581965</v>
      </c>
      <c r="G204" s="176">
        <v>138.86634647524482</v>
      </c>
      <c r="H204" s="176">
        <v>5.9666137041917278</v>
      </c>
      <c r="I204" s="176">
        <v>70.63955982441766</v>
      </c>
      <c r="J204" s="64"/>
      <c r="K204" s="64"/>
      <c r="L204" s="31"/>
    </row>
    <row r="205" spans="2:12" ht="17.25" x14ac:dyDescent="0.3">
      <c r="B205" s="79"/>
      <c r="C205" s="68" t="s">
        <v>47</v>
      </c>
      <c r="D205" s="176">
        <v>20.901604758207714</v>
      </c>
      <c r="E205" s="176">
        <v>167.00166272346985</v>
      </c>
      <c r="F205" s="176">
        <v>6.8592546775593028</v>
      </c>
      <c r="G205" s="176">
        <v>104.48182856726294</v>
      </c>
      <c r="H205" s="176">
        <v>14.042350080648411</v>
      </c>
      <c r="I205" s="176">
        <v>62.519834156206926</v>
      </c>
      <c r="J205" s="64"/>
      <c r="K205" s="64"/>
      <c r="L205" s="31"/>
    </row>
    <row r="206" spans="2:12" ht="17.25" x14ac:dyDescent="0.3">
      <c r="B206" s="79"/>
      <c r="C206" s="68" t="s">
        <v>20</v>
      </c>
      <c r="D206" s="176">
        <v>19.855746948003937</v>
      </c>
      <c r="E206" s="176">
        <v>224.74010878037643</v>
      </c>
      <c r="F206" s="176">
        <v>8.2771316131612043</v>
      </c>
      <c r="G206" s="176">
        <v>148.72126105731763</v>
      </c>
      <c r="H206" s="176">
        <v>11.578615334842732</v>
      </c>
      <c r="I206" s="176">
        <v>76.018847723058784</v>
      </c>
      <c r="J206" s="64"/>
      <c r="K206" s="64"/>
      <c r="L206" s="31"/>
    </row>
    <row r="207" spans="2:12" ht="17.25" x14ac:dyDescent="0.3">
      <c r="B207" s="79"/>
      <c r="C207" s="68" t="s">
        <v>49</v>
      </c>
      <c r="D207" s="176">
        <v>5.6722692534830799</v>
      </c>
      <c r="E207" s="176">
        <v>73.376254778217771</v>
      </c>
      <c r="F207" s="176">
        <v>2.4791611763738577</v>
      </c>
      <c r="G207" s="176">
        <v>40.880855644839251</v>
      </c>
      <c r="H207" s="176">
        <v>3.1931080771092217</v>
      </c>
      <c r="I207" s="176">
        <v>32.49539913337852</v>
      </c>
      <c r="J207" s="64"/>
      <c r="K207" s="64"/>
      <c r="L207" s="31"/>
    </row>
    <row r="208" spans="2:12" ht="18" thickBot="1" x14ac:dyDescent="0.35">
      <c r="B208" s="70"/>
      <c r="C208" s="85" t="s">
        <v>48</v>
      </c>
      <c r="D208" s="178">
        <v>1.6303399999999997</v>
      </c>
      <c r="E208" s="177">
        <v>10.266425963991784</v>
      </c>
      <c r="F208" s="177">
        <v>0</v>
      </c>
      <c r="G208" s="177">
        <v>0</v>
      </c>
      <c r="H208" s="177">
        <v>1.6303399999999997</v>
      </c>
      <c r="I208" s="177">
        <v>10.266425963991784</v>
      </c>
      <c r="J208" s="64"/>
      <c r="K208" s="64"/>
      <c r="L208" s="31"/>
    </row>
    <row r="209" spans="2:12" ht="17.25" x14ac:dyDescent="0.3">
      <c r="B209" s="82" t="s">
        <v>27</v>
      </c>
      <c r="C209" s="82" t="s">
        <v>6</v>
      </c>
      <c r="D209" s="179" t="s">
        <v>290</v>
      </c>
      <c r="E209" s="180">
        <v>1026.81</v>
      </c>
      <c r="F209" s="179" t="s">
        <v>313</v>
      </c>
      <c r="G209" s="179">
        <v>477.63</v>
      </c>
      <c r="H209" s="179">
        <v>81.59</v>
      </c>
      <c r="I209" s="179">
        <v>549.17999999999995</v>
      </c>
      <c r="J209" s="64"/>
      <c r="K209" s="64"/>
      <c r="L209" s="31"/>
    </row>
    <row r="210" spans="2:12" ht="17.25" x14ac:dyDescent="0.3">
      <c r="B210" s="79"/>
      <c r="C210" s="68" t="s">
        <v>310</v>
      </c>
      <c r="D210" s="124">
        <v>128.61000000000001</v>
      </c>
      <c r="E210" s="124">
        <v>898.16</v>
      </c>
      <c r="F210" s="124">
        <v>63.54</v>
      </c>
      <c r="G210" s="124">
        <v>424.19</v>
      </c>
      <c r="H210" s="124">
        <v>65.08</v>
      </c>
      <c r="I210" s="124">
        <v>473.97</v>
      </c>
      <c r="J210" s="64"/>
      <c r="K210" s="64"/>
      <c r="L210" s="31"/>
    </row>
    <row r="211" spans="2:12" ht="17.25" x14ac:dyDescent="0.3">
      <c r="B211" s="79"/>
      <c r="C211" s="68" t="s">
        <v>314</v>
      </c>
      <c r="D211" s="124">
        <v>86.21</v>
      </c>
      <c r="E211" s="124">
        <v>166.79</v>
      </c>
      <c r="F211" s="124">
        <v>295.44</v>
      </c>
      <c r="G211" s="124">
        <v>110.33</v>
      </c>
      <c r="H211" s="124">
        <v>38.86</v>
      </c>
      <c r="I211" s="124">
        <v>236.39</v>
      </c>
      <c r="J211" s="64"/>
      <c r="K211" s="40"/>
      <c r="L211" s="31"/>
    </row>
    <row r="212" spans="2:12" ht="17.25" x14ac:dyDescent="0.3">
      <c r="B212" s="79"/>
      <c r="C212" s="68" t="s">
        <v>311</v>
      </c>
      <c r="D212" s="124">
        <v>20.39</v>
      </c>
      <c r="E212" s="124">
        <v>203.94</v>
      </c>
      <c r="F212" s="124">
        <v>9.7799999999999994</v>
      </c>
      <c r="G212" s="124">
        <v>70.39</v>
      </c>
      <c r="H212" s="124">
        <v>9.8000000000000007</v>
      </c>
      <c r="I212" s="124">
        <v>133.55000000000001</v>
      </c>
      <c r="J212" s="64"/>
      <c r="K212" s="64"/>
      <c r="L212" s="31"/>
    </row>
    <row r="213" spans="2:12" ht="17.25" x14ac:dyDescent="0.3">
      <c r="B213" s="79"/>
      <c r="C213" s="68" t="s">
        <v>315</v>
      </c>
      <c r="D213" s="124">
        <v>20.83</v>
      </c>
      <c r="E213" s="124">
        <v>162.38999999999999</v>
      </c>
      <c r="F213" s="124">
        <v>6.41</v>
      </c>
      <c r="G213" s="124">
        <v>63.37</v>
      </c>
      <c r="H213" s="124">
        <v>14.21</v>
      </c>
      <c r="I213" s="124">
        <v>99.02</v>
      </c>
      <c r="J213" s="64"/>
      <c r="K213" s="64"/>
      <c r="L213" s="31"/>
    </row>
    <row r="214" spans="2:12" ht="17.25" x14ac:dyDescent="0.3">
      <c r="B214" s="79"/>
      <c r="C214" s="68" t="s">
        <v>20</v>
      </c>
      <c r="D214" s="124">
        <v>19.14</v>
      </c>
      <c r="E214" s="124">
        <v>51.02</v>
      </c>
      <c r="F214" s="124">
        <v>8.16</v>
      </c>
      <c r="G214" s="124">
        <v>15.82</v>
      </c>
      <c r="H214" s="124">
        <v>10.98</v>
      </c>
      <c r="I214" s="124">
        <v>35.200000000000003</v>
      </c>
      <c r="J214" s="64"/>
      <c r="K214" s="64"/>
      <c r="L214" s="31"/>
    </row>
    <row r="215" spans="2:12" ht="17.25" x14ac:dyDescent="0.3">
      <c r="B215" s="79"/>
      <c r="C215" s="68" t="s">
        <v>316</v>
      </c>
      <c r="D215" s="124">
        <v>5.87</v>
      </c>
      <c r="E215" s="124">
        <v>64.77</v>
      </c>
      <c r="F215" s="124">
        <v>2.33</v>
      </c>
      <c r="G215" s="124">
        <v>37.619999999999997</v>
      </c>
      <c r="H215" s="124">
        <v>3.55</v>
      </c>
      <c r="I215" s="124">
        <v>27.15</v>
      </c>
      <c r="J215" s="64"/>
      <c r="K215" s="64"/>
      <c r="L215" s="31"/>
    </row>
    <row r="216" spans="2:12" ht="18" thickBot="1" x14ac:dyDescent="0.35">
      <c r="B216" s="70"/>
      <c r="C216" s="85" t="s">
        <v>53</v>
      </c>
      <c r="D216" s="181">
        <v>1.98</v>
      </c>
      <c r="E216" s="125">
        <v>12.86</v>
      </c>
      <c r="F216" s="125" t="s">
        <v>19</v>
      </c>
      <c r="G216" s="125" t="s">
        <v>19</v>
      </c>
      <c r="H216" s="125">
        <v>1.98</v>
      </c>
      <c r="I216" s="125">
        <v>12.86</v>
      </c>
      <c r="J216" s="64"/>
      <c r="K216" s="31"/>
      <c r="L216" s="31"/>
    </row>
    <row r="217" spans="2:12" ht="17.25" x14ac:dyDescent="0.3">
      <c r="B217" s="82" t="s">
        <v>28</v>
      </c>
      <c r="C217" s="82" t="s">
        <v>6</v>
      </c>
      <c r="D217" s="179">
        <v>126.09</v>
      </c>
      <c r="E217" s="180">
        <v>1364.89</v>
      </c>
      <c r="F217" s="179">
        <v>55.38</v>
      </c>
      <c r="G217" s="179">
        <v>905.5</v>
      </c>
      <c r="H217" s="179">
        <v>70.709999999999994</v>
      </c>
      <c r="I217" s="179">
        <v>459.39</v>
      </c>
      <c r="J217" s="64"/>
      <c r="K217" s="31"/>
      <c r="L217" s="31"/>
    </row>
    <row r="218" spans="2:12" ht="17.25" x14ac:dyDescent="0.3">
      <c r="B218" s="79"/>
      <c r="C218" s="68" t="s">
        <v>310</v>
      </c>
      <c r="D218" s="124">
        <v>65.97</v>
      </c>
      <c r="E218" s="124">
        <v>667.44</v>
      </c>
      <c r="F218" s="124">
        <v>25.64</v>
      </c>
      <c r="G218" s="124">
        <v>419.63</v>
      </c>
      <c r="H218" s="124">
        <v>40.33</v>
      </c>
      <c r="I218" s="124">
        <v>247.81</v>
      </c>
      <c r="J218" s="40"/>
      <c r="K218" s="31"/>
      <c r="L218" s="31"/>
    </row>
    <row r="219" spans="2:12" ht="17.25" x14ac:dyDescent="0.3">
      <c r="B219" s="79"/>
      <c r="C219" s="68" t="s">
        <v>317</v>
      </c>
      <c r="D219" s="124">
        <v>13.68</v>
      </c>
      <c r="E219" s="124">
        <v>181.14</v>
      </c>
      <c r="F219" s="124" t="s">
        <v>19</v>
      </c>
      <c r="G219" s="124" t="s">
        <v>19</v>
      </c>
      <c r="H219" s="124" t="s">
        <v>19</v>
      </c>
      <c r="I219" s="124" t="s">
        <v>19</v>
      </c>
      <c r="J219" s="64"/>
      <c r="K219" s="31"/>
      <c r="L219" s="31"/>
    </row>
    <row r="220" spans="2:12" ht="17.25" x14ac:dyDescent="0.3">
      <c r="B220" s="79"/>
      <c r="C220" s="68" t="s">
        <v>311</v>
      </c>
      <c r="D220" s="124">
        <v>24.77</v>
      </c>
      <c r="E220" s="124">
        <v>273.62</v>
      </c>
      <c r="F220" s="124" t="s">
        <v>19</v>
      </c>
      <c r="G220" s="124" t="s">
        <v>19</v>
      </c>
      <c r="H220" s="124" t="s">
        <v>19</v>
      </c>
      <c r="I220" s="124" t="s">
        <v>19</v>
      </c>
      <c r="J220" s="64"/>
      <c r="K220" s="31"/>
      <c r="L220" s="31"/>
    </row>
    <row r="221" spans="2:12" ht="17.25" x14ac:dyDescent="0.3">
      <c r="B221" s="79"/>
      <c r="C221" s="68" t="s">
        <v>47</v>
      </c>
      <c r="D221" s="124">
        <v>27.52</v>
      </c>
      <c r="E221" s="124">
        <v>212.67</v>
      </c>
      <c r="F221" s="124" t="s">
        <v>19</v>
      </c>
      <c r="G221" s="124" t="s">
        <v>19</v>
      </c>
      <c r="H221" s="124" t="s">
        <v>19</v>
      </c>
      <c r="I221" s="124" t="s">
        <v>19</v>
      </c>
      <c r="J221" s="31"/>
      <c r="K221" s="31"/>
      <c r="L221" s="31"/>
    </row>
    <row r="222" spans="2:12" ht="17.25" x14ac:dyDescent="0.3">
      <c r="B222" s="79"/>
      <c r="C222" s="68" t="s">
        <v>20</v>
      </c>
      <c r="D222" s="124">
        <v>15.22</v>
      </c>
      <c r="E222" s="124">
        <v>218.98</v>
      </c>
      <c r="F222" s="124">
        <v>9.33</v>
      </c>
      <c r="G222" s="124">
        <v>170.86</v>
      </c>
      <c r="H222" s="124">
        <v>5.89</v>
      </c>
      <c r="I222" s="124">
        <v>48.12</v>
      </c>
      <c r="J222" s="31"/>
      <c r="K222" s="64"/>
      <c r="L222" s="31"/>
    </row>
    <row r="223" spans="2:12" ht="17.25" x14ac:dyDescent="0.3">
      <c r="B223" s="79"/>
      <c r="C223" s="68" t="s">
        <v>93</v>
      </c>
      <c r="D223" s="124">
        <v>44.78</v>
      </c>
      <c r="E223" s="124">
        <v>478.01</v>
      </c>
      <c r="F223" s="124">
        <v>20.41</v>
      </c>
      <c r="G223" s="124">
        <v>315.01</v>
      </c>
      <c r="H223" s="124">
        <v>24.37</v>
      </c>
      <c r="I223" s="124">
        <v>163</v>
      </c>
      <c r="J223" s="31"/>
      <c r="K223" s="31"/>
      <c r="L223" s="31"/>
    </row>
    <row r="224" spans="2:12" ht="18" thickBot="1" x14ac:dyDescent="0.35">
      <c r="B224" s="70"/>
      <c r="C224" s="85" t="s">
        <v>53</v>
      </c>
      <c r="D224" s="125">
        <v>0.11</v>
      </c>
      <c r="E224" s="125">
        <v>0.46</v>
      </c>
      <c r="F224" s="125" t="s">
        <v>19</v>
      </c>
      <c r="G224" s="125" t="s">
        <v>19</v>
      </c>
      <c r="H224" s="125">
        <v>0.11</v>
      </c>
      <c r="I224" s="125">
        <v>0.46</v>
      </c>
      <c r="J224" s="31"/>
      <c r="K224" s="31"/>
      <c r="L224" s="31"/>
    </row>
    <row r="225" spans="2:13" ht="17.25" x14ac:dyDescent="0.3">
      <c r="B225" s="63"/>
      <c r="C225" s="63"/>
      <c r="D225" s="64"/>
      <c r="E225" s="64"/>
      <c r="F225" s="64"/>
      <c r="G225" s="64"/>
      <c r="H225" s="64"/>
      <c r="I225" s="64"/>
      <c r="J225" s="31"/>
      <c r="K225" s="64"/>
      <c r="L225" s="31"/>
    </row>
    <row r="226" spans="2:13" ht="17.25" x14ac:dyDescent="0.3">
      <c r="B226" s="65" t="s">
        <v>318</v>
      </c>
      <c r="C226" s="65"/>
      <c r="D226" s="59"/>
      <c r="E226" s="59"/>
      <c r="F226" s="59"/>
      <c r="G226" s="59"/>
      <c r="H226" s="59"/>
      <c r="I226" s="59"/>
      <c r="J226" s="59"/>
      <c r="K226" s="59"/>
      <c r="L226" s="77"/>
    </row>
    <row r="227" spans="2:13" ht="6" customHeight="1" thickBot="1" x14ac:dyDescent="0.35">
      <c r="B227" s="63"/>
      <c r="C227" s="63"/>
      <c r="D227" s="64"/>
      <c r="E227" s="31"/>
      <c r="F227" s="64"/>
      <c r="G227" s="64"/>
      <c r="H227" s="64"/>
      <c r="I227" s="64"/>
      <c r="J227" s="64"/>
      <c r="K227" s="64"/>
      <c r="L227" s="31"/>
    </row>
    <row r="228" spans="2:13" ht="17.25" x14ac:dyDescent="0.3">
      <c r="B228" s="184"/>
      <c r="C228" s="185" t="s">
        <v>7</v>
      </c>
      <c r="D228" s="185" t="s">
        <v>8</v>
      </c>
      <c r="E228" s="185" t="s">
        <v>26</v>
      </c>
      <c r="F228" s="186" t="s">
        <v>319</v>
      </c>
      <c r="G228" s="185" t="s">
        <v>288</v>
      </c>
      <c r="H228" s="185" t="s">
        <v>27</v>
      </c>
      <c r="I228" s="185" t="s">
        <v>28</v>
      </c>
      <c r="J228" s="64"/>
      <c r="K228" s="31"/>
      <c r="L228" s="31"/>
    </row>
    <row r="229" spans="2:13" ht="17.25" x14ac:dyDescent="0.3">
      <c r="B229" s="163" t="s">
        <v>320</v>
      </c>
      <c r="C229" s="187">
        <v>0.54100000000000004</v>
      </c>
      <c r="D229" s="187">
        <v>0.41</v>
      </c>
      <c r="E229" s="187">
        <v>0.39572022412250457</v>
      </c>
      <c r="F229" s="188">
        <v>0.43300646874891002</v>
      </c>
      <c r="G229" s="163">
        <v>40</v>
      </c>
      <c r="H229" s="162">
        <v>66</v>
      </c>
      <c r="I229" s="162">
        <v>56.08</v>
      </c>
      <c r="J229" s="64"/>
      <c r="K229" s="31"/>
      <c r="L229" s="31"/>
    </row>
    <row r="230" spans="2:13" ht="17.25" x14ac:dyDescent="0.3">
      <c r="B230" s="163" t="s">
        <v>321</v>
      </c>
      <c r="C230" s="187">
        <f>0.058+0.094</f>
        <v>0.152</v>
      </c>
      <c r="D230" s="187">
        <v>0.36</v>
      </c>
      <c r="E230" s="187">
        <v>0.36420060670157511</v>
      </c>
      <c r="F230" s="188">
        <v>0.40355225343549905</v>
      </c>
      <c r="G230" s="163">
        <v>33</v>
      </c>
      <c r="H230" s="162">
        <v>3</v>
      </c>
      <c r="I230" s="162">
        <v>16.149999999999999</v>
      </c>
      <c r="J230" s="64"/>
      <c r="K230" s="31"/>
      <c r="L230" s="31"/>
    </row>
    <row r="231" spans="2:13" ht="17.25" x14ac:dyDescent="0.3">
      <c r="B231" s="163" t="s">
        <v>322</v>
      </c>
      <c r="C231" s="187">
        <v>0.152</v>
      </c>
      <c r="D231" s="187">
        <v>0.09</v>
      </c>
      <c r="E231" s="187">
        <v>0.11107228927280925</v>
      </c>
      <c r="F231" s="188">
        <v>0.13219049564381885</v>
      </c>
      <c r="G231" s="163">
        <v>11</v>
      </c>
      <c r="H231" s="162">
        <v>11</v>
      </c>
      <c r="I231" s="162">
        <v>15.69</v>
      </c>
      <c r="J231" s="106"/>
      <c r="K231" s="64"/>
      <c r="L231" s="109"/>
    </row>
    <row r="232" spans="2:13" ht="17.25" x14ac:dyDescent="0.3">
      <c r="B232" s="163" t="s">
        <v>323</v>
      </c>
      <c r="C232" s="187">
        <f>0.111+0.001+0.001</f>
        <v>0.113</v>
      </c>
      <c r="D232" s="187">
        <v>0.12</v>
      </c>
      <c r="E232" s="187">
        <v>0.10524532892914693</v>
      </c>
      <c r="F232" s="188">
        <v>6.0994869571342125E-3</v>
      </c>
      <c r="G232" s="163">
        <v>14</v>
      </c>
      <c r="H232" s="162">
        <v>12</v>
      </c>
      <c r="I232" s="162">
        <v>7.34</v>
      </c>
      <c r="J232" s="31"/>
      <c r="K232" s="64"/>
      <c r="L232" s="109"/>
      <c r="M232" s="8"/>
    </row>
    <row r="233" spans="2:13" ht="17.25" x14ac:dyDescent="0.3">
      <c r="B233" s="163" t="s">
        <v>324</v>
      </c>
      <c r="C233" s="187">
        <f>0.038+0.002</f>
        <v>0.04</v>
      </c>
      <c r="D233" s="187">
        <v>0.02</v>
      </c>
      <c r="E233" s="187">
        <v>2.3000933633586202E-2</v>
      </c>
      <c r="F233" s="188">
        <v>2.5110066343778728E-2</v>
      </c>
      <c r="G233" s="163">
        <v>2</v>
      </c>
      <c r="H233" s="162">
        <v>7</v>
      </c>
      <c r="I233" s="162">
        <v>4.74</v>
      </c>
      <c r="J233" s="31"/>
      <c r="K233" s="38"/>
      <c r="L233" s="109"/>
      <c r="M233" s="8"/>
    </row>
    <row r="234" spans="2:13" ht="18" thickBot="1" x14ac:dyDescent="0.35">
      <c r="B234" s="165" t="s">
        <v>325</v>
      </c>
      <c r="C234" s="189">
        <f>0.001+0.002</f>
        <v>3.0000000000000001E-3</v>
      </c>
      <c r="D234" s="189">
        <v>0</v>
      </c>
      <c r="E234" s="189">
        <v>0</v>
      </c>
      <c r="F234" s="189">
        <v>0</v>
      </c>
      <c r="G234" s="165">
        <v>0</v>
      </c>
      <c r="H234" s="190">
        <v>1</v>
      </c>
      <c r="I234" s="190" t="s">
        <v>19</v>
      </c>
      <c r="J234" s="31"/>
      <c r="K234" s="31"/>
      <c r="L234" s="31"/>
    </row>
    <row r="235" spans="2:13" ht="17.25" x14ac:dyDescent="0.3">
      <c r="B235" s="63"/>
      <c r="C235" s="63"/>
      <c r="D235" s="64"/>
      <c r="E235" s="64"/>
      <c r="F235" s="64"/>
      <c r="G235" s="64"/>
      <c r="H235" s="64"/>
      <c r="I235" s="64"/>
      <c r="J235" s="31"/>
      <c r="K235" s="31"/>
      <c r="L235" s="31"/>
    </row>
    <row r="236" spans="2:13" ht="17.25" x14ac:dyDescent="0.3">
      <c r="B236" s="65" t="s">
        <v>326</v>
      </c>
      <c r="C236" s="65"/>
      <c r="D236" s="59"/>
      <c r="E236" s="59"/>
      <c r="F236" s="59"/>
      <c r="G236" s="59"/>
      <c r="H236" s="59"/>
      <c r="I236" s="59"/>
      <c r="J236" s="59"/>
      <c r="K236" s="59"/>
      <c r="L236" s="77"/>
    </row>
    <row r="237" spans="2:13" ht="6" customHeight="1" thickBot="1" x14ac:dyDescent="0.35">
      <c r="B237" s="63"/>
      <c r="C237" s="63"/>
      <c r="D237" s="64"/>
      <c r="E237" s="31"/>
      <c r="F237" s="64"/>
      <c r="G237" s="64"/>
      <c r="H237" s="64"/>
      <c r="I237" s="64"/>
      <c r="J237" s="64"/>
      <c r="K237" s="64"/>
      <c r="L237" s="31"/>
    </row>
    <row r="238" spans="2:13" ht="18" thickBot="1" x14ac:dyDescent="0.35">
      <c r="B238" s="415" t="s">
        <v>147</v>
      </c>
      <c r="C238" s="415"/>
      <c r="D238" s="417" t="s">
        <v>327</v>
      </c>
      <c r="E238" s="417"/>
      <c r="F238" s="418"/>
      <c r="G238" s="418"/>
      <c r="H238" s="418"/>
      <c r="I238" s="418"/>
      <c r="J238" s="38"/>
      <c r="K238" s="110"/>
      <c r="L238" s="31"/>
    </row>
    <row r="239" spans="2:13" ht="18" thickBot="1" x14ac:dyDescent="0.35">
      <c r="B239" s="416"/>
      <c r="C239" s="416"/>
      <c r="D239" s="191" t="s">
        <v>308</v>
      </c>
      <c r="E239" s="191" t="s">
        <v>309</v>
      </c>
      <c r="F239" s="111"/>
      <c r="G239" s="111"/>
      <c r="H239" s="111"/>
      <c r="I239" s="111"/>
      <c r="J239" s="31"/>
      <c r="K239" s="110"/>
      <c r="L239" s="31"/>
    </row>
    <row r="240" spans="2:13" ht="17.25" x14ac:dyDescent="0.3">
      <c r="B240" s="192" t="s">
        <v>7</v>
      </c>
      <c r="C240" s="82" t="s">
        <v>6</v>
      </c>
      <c r="D240" s="193"/>
      <c r="E240" s="194"/>
      <c r="F240" s="111"/>
      <c r="G240" s="31"/>
      <c r="H240" s="64"/>
      <c r="I240" s="64"/>
      <c r="J240" s="31"/>
      <c r="K240" s="110"/>
      <c r="L240" s="31"/>
    </row>
    <row r="241" spans="2:14" ht="28.5" x14ac:dyDescent="0.3">
      <c r="B241" s="142"/>
      <c r="C241" s="68" t="s">
        <v>328</v>
      </c>
      <c r="D241" s="141">
        <v>153.22300000000001</v>
      </c>
      <c r="E241" s="141">
        <v>1542.96</v>
      </c>
      <c r="F241" s="111"/>
      <c r="G241" s="31"/>
      <c r="H241" s="64"/>
      <c r="I241" s="64"/>
      <c r="J241" s="31"/>
      <c r="K241" s="110"/>
      <c r="L241" s="31"/>
    </row>
    <row r="242" spans="2:14" ht="17.25" x14ac:dyDescent="0.3">
      <c r="B242" s="142"/>
      <c r="C242" s="68" t="s">
        <v>329</v>
      </c>
      <c r="D242" s="141">
        <v>553.01</v>
      </c>
      <c r="E242" s="141">
        <v>5568.808</v>
      </c>
      <c r="F242" s="31"/>
      <c r="G242" s="31"/>
      <c r="H242" s="64"/>
      <c r="I242" s="64"/>
      <c r="J242" s="112"/>
      <c r="K242" s="112"/>
      <c r="L242" s="112"/>
      <c r="M242" s="12"/>
      <c r="N242" s="12"/>
    </row>
    <row r="243" spans="2:14" ht="28.5" x14ac:dyDescent="0.3">
      <c r="B243" s="142"/>
      <c r="C243" s="68" t="s">
        <v>330</v>
      </c>
      <c r="D243" s="141">
        <v>35.695</v>
      </c>
      <c r="E243" s="141">
        <v>359.44</v>
      </c>
      <c r="F243" s="31"/>
      <c r="G243" s="31"/>
      <c r="H243" s="64"/>
      <c r="I243" s="64"/>
      <c r="J243" s="112"/>
      <c r="K243" s="112"/>
      <c r="L243" s="112"/>
      <c r="M243" s="12"/>
      <c r="N243" s="12"/>
    </row>
    <row r="244" spans="2:14" ht="18" thickBot="1" x14ac:dyDescent="0.35">
      <c r="B244" s="195"/>
      <c r="C244" s="85" t="s">
        <v>331</v>
      </c>
      <c r="D244" s="196">
        <v>330.36099999999999</v>
      </c>
      <c r="E244" s="177">
        <v>3326.7350000000001</v>
      </c>
      <c r="F244" s="31"/>
      <c r="G244" s="74"/>
      <c r="H244" s="74"/>
      <c r="I244" s="64"/>
      <c r="J244" s="110"/>
      <c r="K244" s="31"/>
      <c r="L244" s="31"/>
    </row>
    <row r="245" spans="2:14" ht="17.25" x14ac:dyDescent="0.3">
      <c r="B245" s="192" t="s">
        <v>8</v>
      </c>
      <c r="C245" s="82" t="s">
        <v>6</v>
      </c>
      <c r="D245" s="193">
        <f>SUM(D246:D249)</f>
        <v>967.24499999999989</v>
      </c>
      <c r="E245" s="194">
        <f>D245*10.07</f>
        <v>9740.1571499999991</v>
      </c>
      <c r="F245" s="111"/>
      <c r="G245" s="31"/>
      <c r="H245" s="64"/>
      <c r="I245" s="64"/>
      <c r="J245" s="31"/>
      <c r="K245" s="110"/>
      <c r="L245" s="31"/>
    </row>
    <row r="246" spans="2:14" ht="28.5" x14ac:dyDescent="0.3">
      <c r="B246" s="142"/>
      <c r="C246" s="68" t="s">
        <v>328</v>
      </c>
      <c r="D246" s="141">
        <f>100738/1000</f>
        <v>100.738</v>
      </c>
      <c r="E246" s="141">
        <f t="shared" ref="E246:E249" si="6">D246*10.07</f>
        <v>1014.4316600000001</v>
      </c>
      <c r="F246" s="111"/>
      <c r="G246" s="31"/>
      <c r="H246" s="64"/>
      <c r="I246" s="64"/>
      <c r="J246" s="31"/>
      <c r="K246" s="110"/>
      <c r="L246" s="31"/>
    </row>
    <row r="247" spans="2:14" ht="17.25" x14ac:dyDescent="0.3">
      <c r="B247" s="142"/>
      <c r="C247" s="68" t="s">
        <v>329</v>
      </c>
      <c r="D247" s="141">
        <f>518591/1000</f>
        <v>518.59100000000001</v>
      </c>
      <c r="E247" s="141">
        <f t="shared" si="6"/>
        <v>5222.21137</v>
      </c>
      <c r="F247" s="31"/>
      <c r="G247" s="31"/>
      <c r="H247" s="64"/>
      <c r="I247" s="64"/>
      <c r="J247" s="112"/>
      <c r="K247" s="112"/>
      <c r="L247" s="112"/>
      <c r="M247" s="12"/>
      <c r="N247" s="12"/>
    </row>
    <row r="248" spans="2:14" ht="28.5" x14ac:dyDescent="0.3">
      <c r="B248" s="142"/>
      <c r="C248" s="68" t="s">
        <v>330</v>
      </c>
      <c r="D248" s="141">
        <f>33601/1000</f>
        <v>33.600999999999999</v>
      </c>
      <c r="E248" s="141">
        <f t="shared" si="6"/>
        <v>338.36207000000002</v>
      </c>
      <c r="F248" s="31"/>
      <c r="G248" s="31"/>
      <c r="H248" s="64"/>
      <c r="I248" s="64"/>
      <c r="J248" s="112"/>
      <c r="K248" s="112"/>
      <c r="L248" s="112"/>
      <c r="M248" s="12"/>
      <c r="N248" s="12"/>
    </row>
    <row r="249" spans="2:14" ht="18" thickBot="1" x14ac:dyDescent="0.35">
      <c r="B249" s="195"/>
      <c r="C249" s="85" t="s">
        <v>331</v>
      </c>
      <c r="D249" s="196">
        <f>314315/1000</f>
        <v>314.315</v>
      </c>
      <c r="E249" s="177">
        <f t="shared" si="6"/>
        <v>3165.1520500000001</v>
      </c>
      <c r="F249" s="31"/>
      <c r="G249" s="74"/>
      <c r="H249" s="74"/>
      <c r="I249" s="64"/>
      <c r="J249" s="110"/>
      <c r="K249" s="31"/>
      <c r="L249" s="31"/>
    </row>
    <row r="250" spans="2:14" ht="17.25" x14ac:dyDescent="0.3">
      <c r="B250" s="192" t="s">
        <v>26</v>
      </c>
      <c r="C250" s="82" t="s">
        <v>6</v>
      </c>
      <c r="D250" s="82">
        <f>SUM(D251:D255)</f>
        <v>653.72999999999979</v>
      </c>
      <c r="E250" s="194">
        <f>SUM(E251:E255)</f>
        <v>9389.9573019074905</v>
      </c>
      <c r="F250" s="111"/>
      <c r="G250" s="31"/>
      <c r="H250" s="64"/>
      <c r="I250" s="64"/>
      <c r="J250" s="31"/>
      <c r="K250" s="110"/>
      <c r="L250" s="64"/>
      <c r="M250" s="1"/>
      <c r="N250" s="1"/>
    </row>
    <row r="251" spans="2:14" ht="28.5" x14ac:dyDescent="0.3">
      <c r="B251" s="142"/>
      <c r="C251" s="68" t="s">
        <v>328</v>
      </c>
      <c r="D251" s="141">
        <v>97.17</v>
      </c>
      <c r="E251" s="141">
        <f>SUM([1]Summary!$E$36:$E$43)</f>
        <v>886.88805550714835</v>
      </c>
      <c r="F251" s="111"/>
      <c r="G251" s="31"/>
      <c r="H251" s="64"/>
      <c r="I251" s="64"/>
      <c r="J251" s="31"/>
      <c r="K251" s="110"/>
      <c r="L251" s="64"/>
    </row>
    <row r="252" spans="2:14" ht="17.25" x14ac:dyDescent="0.3">
      <c r="B252" s="142"/>
      <c r="C252" s="68" t="s">
        <v>329</v>
      </c>
      <c r="D252" s="141">
        <v>541.9</v>
      </c>
      <c r="E252" s="141">
        <f>SUM([2]Summary!$P$6:$P$9,[2]Summary!$P$11)</f>
        <v>5131.9093621199809</v>
      </c>
      <c r="F252" s="31"/>
      <c r="G252" s="31"/>
      <c r="H252" s="64"/>
      <c r="I252" s="64"/>
      <c r="J252" s="112"/>
      <c r="K252" s="112"/>
      <c r="L252" s="64"/>
    </row>
    <row r="253" spans="2:14" ht="28.5" x14ac:dyDescent="0.3">
      <c r="B253" s="142"/>
      <c r="C253" s="68" t="s">
        <v>330</v>
      </c>
      <c r="D253" s="141">
        <v>12.3</v>
      </c>
      <c r="E253" s="141">
        <f>SUM([1]Summary!$E$44:$E$45)</f>
        <v>231.92833424934821</v>
      </c>
      <c r="F253" s="31"/>
      <c r="G253" s="31"/>
      <c r="H253" s="64"/>
      <c r="I253" s="64"/>
      <c r="J253" s="112"/>
      <c r="K253" s="112"/>
      <c r="L253" s="31"/>
    </row>
    <row r="254" spans="2:14" ht="17.25" x14ac:dyDescent="0.3">
      <c r="B254" s="142"/>
      <c r="C254" s="68" t="s">
        <v>331</v>
      </c>
      <c r="D254" s="141">
        <v>2.06</v>
      </c>
      <c r="E254" s="141">
        <f>[2]Summary!$P$12</f>
        <v>3136.5153583257661</v>
      </c>
      <c r="F254" s="31"/>
      <c r="G254" s="74"/>
      <c r="H254" s="74"/>
      <c r="I254" s="64"/>
      <c r="J254" s="110"/>
      <c r="K254" s="31"/>
      <c r="L254" s="31"/>
    </row>
    <row r="255" spans="2:14" ht="43.5" thickBot="1" x14ac:dyDescent="0.35">
      <c r="B255" s="142"/>
      <c r="C255" s="68" t="s">
        <v>332</v>
      </c>
      <c r="D255" s="201">
        <v>0.3</v>
      </c>
      <c r="E255" s="201">
        <f>[1]Summary!$E$46</f>
        <v>2.7161917052478208</v>
      </c>
      <c r="F255" s="31"/>
      <c r="G255" s="74"/>
      <c r="H255" s="74"/>
      <c r="I255" s="64"/>
      <c r="J255" s="110"/>
      <c r="K255" s="31"/>
      <c r="L255" s="31"/>
    </row>
    <row r="256" spans="2:14" ht="17.25" x14ac:dyDescent="0.3">
      <c r="B256" s="192" t="s">
        <v>10</v>
      </c>
      <c r="C256" s="82" t="s">
        <v>6</v>
      </c>
      <c r="D256" s="202">
        <v>567</v>
      </c>
      <c r="E256" s="193">
        <f>SUM(E257:E261)</f>
        <v>10690.238847572507</v>
      </c>
      <c r="F256" s="64"/>
      <c r="G256" s="111"/>
      <c r="H256" s="38"/>
      <c r="I256" s="38"/>
      <c r="J256" s="110"/>
      <c r="K256" s="74"/>
      <c r="L256" s="31"/>
    </row>
    <row r="257" spans="2:12" ht="28.5" x14ac:dyDescent="0.3">
      <c r="B257" s="142"/>
      <c r="C257" s="68" t="s">
        <v>328</v>
      </c>
      <c r="D257" s="124">
        <v>97.57</v>
      </c>
      <c r="E257" s="198">
        <f>SUM([3]Summary!$G$89:$G$96)</f>
        <v>978.48951804807655</v>
      </c>
      <c r="F257" s="31"/>
      <c r="G257" s="39"/>
      <c r="H257" s="31"/>
      <c r="I257" s="31"/>
      <c r="J257" s="110"/>
      <c r="K257" s="64"/>
      <c r="L257" s="31"/>
    </row>
    <row r="258" spans="2:12" ht="17.25" x14ac:dyDescent="0.3">
      <c r="B258" s="142"/>
      <c r="C258" s="68" t="s">
        <v>329</v>
      </c>
      <c r="D258" s="68">
        <v>454.72</v>
      </c>
      <c r="E258" s="149">
        <v>6448.3</v>
      </c>
      <c r="F258" s="31"/>
      <c r="G258" s="40"/>
      <c r="H258" s="31"/>
      <c r="I258" s="31"/>
      <c r="J258" s="110"/>
      <c r="K258" s="64"/>
      <c r="L258" s="31"/>
    </row>
    <row r="259" spans="2:12" ht="28.5" x14ac:dyDescent="0.3">
      <c r="B259" s="142"/>
      <c r="C259" s="68" t="s">
        <v>330</v>
      </c>
      <c r="D259" s="152">
        <v>12.1</v>
      </c>
      <c r="E259" s="149">
        <f>SUM([3]Summary!$G$97:$G$98)</f>
        <v>123.90374234133654</v>
      </c>
      <c r="F259" s="31"/>
      <c r="G259" s="40"/>
      <c r="H259" s="31"/>
      <c r="I259" s="31"/>
      <c r="J259" s="31"/>
      <c r="K259" s="64"/>
      <c r="L259" s="31"/>
    </row>
    <row r="260" spans="2:12" ht="17.25" x14ac:dyDescent="0.3">
      <c r="B260" s="142"/>
      <c r="C260" s="68" t="s">
        <v>333</v>
      </c>
      <c r="D260" s="68">
        <f>D254</f>
        <v>2.06</v>
      </c>
      <c r="E260" s="141">
        <f>E254</f>
        <v>3136.5153583257661</v>
      </c>
      <c r="F260" s="31"/>
      <c r="G260" s="40"/>
      <c r="H260" s="31"/>
      <c r="I260" s="112"/>
      <c r="J260" s="31"/>
      <c r="K260" s="64"/>
      <c r="L260" s="31"/>
    </row>
    <row r="261" spans="2:12" ht="43.5" thickBot="1" x14ac:dyDescent="0.35">
      <c r="B261" s="195"/>
      <c r="C261" s="85" t="s">
        <v>332</v>
      </c>
      <c r="D261" s="125">
        <v>0.33</v>
      </c>
      <c r="E261" s="203">
        <f>[3]Summary!$G$99</f>
        <v>3.030228857326795</v>
      </c>
      <c r="F261" s="31"/>
      <c r="G261" s="40"/>
      <c r="H261" s="31"/>
      <c r="I261" s="112"/>
      <c r="J261" s="74"/>
      <c r="K261" s="31"/>
      <c r="L261" s="31"/>
    </row>
    <row r="262" spans="2:12" ht="17.25" x14ac:dyDescent="0.3">
      <c r="B262" s="192" t="s">
        <v>27</v>
      </c>
      <c r="C262" s="82" t="s">
        <v>6</v>
      </c>
      <c r="D262" s="179">
        <v>680.04</v>
      </c>
      <c r="E262" s="180">
        <v>8743.0400000000009</v>
      </c>
      <c r="F262" s="31"/>
      <c r="G262" s="40"/>
      <c r="H262" s="31"/>
      <c r="I262" s="31"/>
      <c r="J262" s="64"/>
      <c r="K262" s="64"/>
      <c r="L262" s="31"/>
    </row>
    <row r="263" spans="2:12" ht="28.5" x14ac:dyDescent="0.3">
      <c r="B263" s="142"/>
      <c r="C263" s="68" t="s">
        <v>328</v>
      </c>
      <c r="D263" s="124">
        <v>143.22999999999999</v>
      </c>
      <c r="E263" s="141">
        <v>1161.2470000000001</v>
      </c>
      <c r="F263" s="31"/>
      <c r="G263" s="40"/>
      <c r="H263" s="31"/>
      <c r="I263" s="31"/>
      <c r="J263" s="64"/>
      <c r="K263" s="64"/>
      <c r="L263" s="31"/>
    </row>
    <row r="264" spans="2:12" ht="15" customHeight="1" thickBot="1" x14ac:dyDescent="0.35">
      <c r="B264" s="195"/>
      <c r="C264" s="85" t="s">
        <v>329</v>
      </c>
      <c r="D264" s="125" t="s">
        <v>334</v>
      </c>
      <c r="E264" s="125">
        <v>7581.808</v>
      </c>
      <c r="F264" s="31"/>
      <c r="G264" s="40"/>
      <c r="H264" s="31"/>
      <c r="I264" s="31"/>
      <c r="J264" s="64"/>
      <c r="K264" s="64"/>
      <c r="L264" s="31"/>
    </row>
    <row r="265" spans="2:12" ht="17.25" x14ac:dyDescent="0.3">
      <c r="B265" s="200" t="s">
        <v>28</v>
      </c>
      <c r="C265" s="79" t="s">
        <v>6</v>
      </c>
      <c r="D265" s="158">
        <v>545.96</v>
      </c>
      <c r="E265" s="199">
        <v>8483.33</v>
      </c>
      <c r="F265" s="31"/>
      <c r="G265" s="40"/>
      <c r="H265" s="31"/>
      <c r="I265" s="31"/>
      <c r="J265" s="64"/>
      <c r="K265" s="64"/>
      <c r="L265" s="31"/>
    </row>
    <row r="266" spans="2:12" ht="28.5" x14ac:dyDescent="0.3">
      <c r="B266" s="142"/>
      <c r="C266" s="68" t="s">
        <v>328</v>
      </c>
      <c r="D266" s="124">
        <v>119.42</v>
      </c>
      <c r="E266" s="141">
        <v>1206.95</v>
      </c>
      <c r="F266" s="31"/>
      <c r="G266" s="40"/>
      <c r="H266" s="31"/>
      <c r="I266" s="31"/>
      <c r="J266" s="64"/>
      <c r="K266" s="64"/>
      <c r="L266" s="31"/>
    </row>
    <row r="267" spans="2:12" ht="17.25" x14ac:dyDescent="0.3">
      <c r="B267" s="142"/>
      <c r="C267" s="68" t="s">
        <v>329</v>
      </c>
      <c r="D267" s="124" t="s">
        <v>335</v>
      </c>
      <c r="E267" s="141">
        <v>7095.8580000000002</v>
      </c>
      <c r="F267" s="31"/>
      <c r="G267" s="64"/>
      <c r="H267" s="64"/>
      <c r="I267" s="31"/>
      <c r="J267" s="64"/>
      <c r="K267" s="64"/>
      <c r="L267" s="31"/>
    </row>
    <row r="268" spans="2:12" ht="29.25" thickBot="1" x14ac:dyDescent="0.35">
      <c r="B268" s="195"/>
      <c r="C268" s="85" t="s">
        <v>330</v>
      </c>
      <c r="D268" s="125">
        <v>9.59</v>
      </c>
      <c r="E268" s="125">
        <v>180.53</v>
      </c>
      <c r="F268" s="31"/>
      <c r="G268" s="64"/>
      <c r="H268" s="64"/>
      <c r="I268" s="31"/>
      <c r="J268" s="64"/>
      <c r="K268" s="64"/>
      <c r="L268" s="31"/>
    </row>
    <row r="269" spans="2:12" ht="17.25" x14ac:dyDescent="0.3">
      <c r="B269" s="31"/>
      <c r="C269" s="31"/>
      <c r="D269" s="31"/>
      <c r="E269" s="31"/>
      <c r="F269" s="31"/>
      <c r="G269" s="64"/>
      <c r="H269" s="64"/>
      <c r="I269" s="64"/>
      <c r="J269" s="64"/>
      <c r="K269" s="64"/>
      <c r="L269" s="31"/>
    </row>
    <row r="270" spans="2:12" ht="20.25" x14ac:dyDescent="0.3">
      <c r="B270" s="104" t="s">
        <v>336</v>
      </c>
      <c r="C270" s="104"/>
      <c r="D270" s="64"/>
      <c r="E270" s="64"/>
      <c r="F270" s="64"/>
      <c r="G270" s="64"/>
      <c r="H270" s="64"/>
      <c r="I270" s="64"/>
      <c r="J270" s="64"/>
      <c r="K270" s="64"/>
      <c r="L270" s="31"/>
    </row>
    <row r="271" spans="2:12" ht="17.25" x14ac:dyDescent="0.3">
      <c r="B271" s="65" t="s">
        <v>337</v>
      </c>
      <c r="C271" s="65"/>
      <c r="D271" s="59"/>
      <c r="E271" s="59"/>
      <c r="F271" s="59"/>
      <c r="G271" s="59"/>
      <c r="H271" s="59"/>
      <c r="I271" s="59"/>
      <c r="J271" s="59"/>
      <c r="K271" s="59"/>
      <c r="L271" s="77"/>
    </row>
    <row r="272" spans="2:12" ht="6" customHeight="1" thickBot="1" x14ac:dyDescent="0.35">
      <c r="B272" s="63"/>
      <c r="C272" s="63"/>
      <c r="D272" s="64"/>
      <c r="E272" s="31"/>
      <c r="F272" s="64"/>
      <c r="G272" s="64"/>
      <c r="H272" s="64"/>
      <c r="I272" s="64"/>
      <c r="J272" s="64"/>
      <c r="K272" s="64"/>
      <c r="L272" s="31"/>
    </row>
    <row r="273" spans="2:12" ht="17.25" x14ac:dyDescent="0.3">
      <c r="B273" s="66" t="s">
        <v>7</v>
      </c>
      <c r="C273" s="67"/>
      <c r="D273" s="67" t="s">
        <v>338</v>
      </c>
      <c r="E273" s="67" t="s">
        <v>339</v>
      </c>
      <c r="F273" s="67" t="s">
        <v>340</v>
      </c>
      <c r="G273" s="64"/>
      <c r="H273" s="64"/>
      <c r="I273" s="64"/>
      <c r="J273" s="64"/>
      <c r="K273" s="64"/>
      <c r="L273" s="31"/>
    </row>
    <row r="274" spans="2:12" ht="17.25" x14ac:dyDescent="0.3">
      <c r="B274" s="68"/>
      <c r="C274" s="79" t="s">
        <v>6</v>
      </c>
      <c r="D274" s="120">
        <v>16527.727124999998</v>
      </c>
      <c r="E274" s="120">
        <v>51063.69187972974</v>
      </c>
      <c r="F274" s="120">
        <v>6.7200000000000006</v>
      </c>
      <c r="G274" s="31"/>
      <c r="H274" s="64"/>
      <c r="I274" s="64"/>
      <c r="J274" s="64"/>
      <c r="K274" s="64"/>
      <c r="L274" s="31"/>
    </row>
    <row r="275" spans="2:12" ht="17.25" x14ac:dyDescent="0.3">
      <c r="B275" s="68"/>
      <c r="C275" s="68" t="s">
        <v>291</v>
      </c>
      <c r="D275" s="69">
        <v>13074.865124999997</v>
      </c>
      <c r="E275" s="69">
        <v>50814.243379729742</v>
      </c>
      <c r="F275" s="69">
        <v>6.7200000000000006</v>
      </c>
      <c r="G275" s="217" t="s">
        <v>341</v>
      </c>
      <c r="H275" s="64"/>
      <c r="I275" s="64"/>
      <c r="J275" s="64"/>
      <c r="K275" s="64"/>
      <c r="L275" s="31"/>
    </row>
    <row r="276" spans="2:12" ht="17.25" x14ac:dyDescent="0.3">
      <c r="B276" s="68"/>
      <c r="C276" s="68" t="s">
        <v>293</v>
      </c>
      <c r="D276" s="69">
        <v>3452.8620000000001</v>
      </c>
      <c r="E276" s="69">
        <v>249.4485</v>
      </c>
      <c r="F276" s="69">
        <v>0</v>
      </c>
      <c r="G276" s="64"/>
      <c r="H276" s="64"/>
      <c r="I276" s="64"/>
      <c r="J276" s="64"/>
      <c r="K276" s="64"/>
      <c r="L276" s="31"/>
    </row>
    <row r="277" spans="2:12" ht="18" thickBot="1" x14ac:dyDescent="0.35">
      <c r="B277" s="85"/>
      <c r="C277" s="215" t="s">
        <v>48</v>
      </c>
      <c r="D277" s="216">
        <v>0</v>
      </c>
      <c r="E277" s="216">
        <v>0</v>
      </c>
      <c r="F277" s="216">
        <v>0</v>
      </c>
      <c r="G277" s="64"/>
      <c r="H277" s="64"/>
      <c r="I277" s="64"/>
      <c r="J277" s="38"/>
      <c r="K277" s="64"/>
      <c r="L277" s="31"/>
    </row>
    <row r="278" spans="2:12" ht="17.25" x14ac:dyDescent="0.3">
      <c r="B278" s="66" t="s">
        <v>8</v>
      </c>
      <c r="C278" s="67"/>
      <c r="D278" s="67"/>
      <c r="E278" s="67"/>
      <c r="F278" s="67"/>
      <c r="G278" s="64"/>
      <c r="H278" s="64"/>
      <c r="I278" s="64"/>
      <c r="J278" s="64"/>
      <c r="K278" s="64"/>
      <c r="L278" s="31"/>
    </row>
    <row r="279" spans="2:12" ht="17.25" x14ac:dyDescent="0.3">
      <c r="B279" s="68"/>
      <c r="C279" s="79" t="s">
        <v>6</v>
      </c>
      <c r="D279" s="120">
        <f>SUM(D280:D283)</f>
        <v>27079.262675454553</v>
      </c>
      <c r="E279" s="120">
        <f>SUM(E280:E283)</f>
        <v>66504.263493366088</v>
      </c>
      <c r="F279" s="120">
        <f>SUM(F280:F283)</f>
        <v>4108</v>
      </c>
      <c r="G279" s="31"/>
      <c r="H279" s="64"/>
      <c r="I279" s="64"/>
      <c r="J279" s="64"/>
      <c r="K279" s="64"/>
      <c r="L279" s="31"/>
    </row>
    <row r="280" spans="2:12" ht="17.25" x14ac:dyDescent="0.3">
      <c r="B280" s="68"/>
      <c r="C280" s="68" t="s">
        <v>291</v>
      </c>
      <c r="D280" s="69">
        <v>24462.807766363643</v>
      </c>
      <c r="E280" s="69">
        <v>63565</v>
      </c>
      <c r="F280" s="69">
        <v>4108</v>
      </c>
      <c r="G280" s="217" t="s">
        <v>341</v>
      </c>
      <c r="H280" s="64"/>
      <c r="I280" s="64"/>
      <c r="J280" s="64"/>
      <c r="K280" s="64"/>
      <c r="L280" s="31"/>
    </row>
    <row r="281" spans="2:12" ht="17.25" x14ac:dyDescent="0.3">
      <c r="B281" s="68"/>
      <c r="C281" s="68" t="s">
        <v>293</v>
      </c>
      <c r="D281" s="69">
        <v>1619.1754090909078</v>
      </c>
      <c r="E281" s="69">
        <v>591.57286363636354</v>
      </c>
      <c r="F281" s="69">
        <v>0</v>
      </c>
      <c r="G281" s="64"/>
      <c r="H281" s="64"/>
      <c r="I281" s="64"/>
      <c r="J281" s="64"/>
      <c r="K281" s="64"/>
      <c r="L281" s="31"/>
    </row>
    <row r="282" spans="2:12" ht="18" thickBot="1" x14ac:dyDescent="0.35">
      <c r="B282" s="85"/>
      <c r="C282" s="215" t="s">
        <v>48</v>
      </c>
      <c r="D282" s="216">
        <f>996.555+0.7245</f>
        <v>997.27949999999998</v>
      </c>
      <c r="E282" s="216">
        <f>2339.62662972973+8.064</f>
        <v>2347.6906297297301</v>
      </c>
      <c r="F282" s="216">
        <v>0</v>
      </c>
      <c r="G282" s="64"/>
      <c r="H282" s="64"/>
      <c r="I282" s="64"/>
      <c r="J282" s="38"/>
      <c r="K282" s="64"/>
      <c r="L282" s="31"/>
    </row>
    <row r="283" spans="2:12" ht="18" hidden="1" thickBot="1" x14ac:dyDescent="0.35">
      <c r="B283" s="96"/>
      <c r="C283" s="96"/>
      <c r="D283" s="95"/>
      <c r="E283" s="95"/>
      <c r="F283" s="95"/>
      <c r="G283" s="64"/>
      <c r="H283" s="64"/>
      <c r="I283" s="64"/>
      <c r="J283" s="114"/>
      <c r="K283" s="64"/>
      <c r="L283" s="31"/>
    </row>
    <row r="284" spans="2:12" ht="17.25" x14ac:dyDescent="0.3">
      <c r="B284" s="66" t="s">
        <v>26</v>
      </c>
      <c r="C284" s="67"/>
      <c r="D284" s="67"/>
      <c r="E284" s="67"/>
      <c r="F284" s="67"/>
      <c r="G284" s="64"/>
      <c r="H284" s="64"/>
      <c r="I284" s="64"/>
      <c r="J284" s="64"/>
      <c r="K284" s="64"/>
      <c r="L284" s="31"/>
    </row>
    <row r="285" spans="2:12" ht="17.25" x14ac:dyDescent="0.3">
      <c r="B285" s="68"/>
      <c r="C285" s="79" t="s">
        <v>6</v>
      </c>
      <c r="D285" s="120">
        <v>29567</v>
      </c>
      <c r="E285" s="204">
        <v>91951</v>
      </c>
      <c r="F285" s="120">
        <v>86</v>
      </c>
      <c r="G285" s="31"/>
      <c r="H285" s="64"/>
      <c r="I285" s="64"/>
      <c r="J285" s="64"/>
      <c r="K285" s="64"/>
      <c r="L285" s="31"/>
    </row>
    <row r="286" spans="2:12" ht="17.25" x14ac:dyDescent="0.3">
      <c r="B286" s="68"/>
      <c r="C286" s="68" t="s">
        <v>291</v>
      </c>
      <c r="D286" s="69">
        <v>26373</v>
      </c>
      <c r="E286" s="205">
        <v>60606</v>
      </c>
      <c r="F286" s="69">
        <v>49</v>
      </c>
      <c r="G286" s="217" t="s">
        <v>342</v>
      </c>
      <c r="H286" s="64"/>
      <c r="I286" s="64"/>
      <c r="J286" s="64"/>
      <c r="K286" s="64"/>
      <c r="L286" s="31"/>
    </row>
    <row r="287" spans="2:12" ht="17.25" x14ac:dyDescent="0.3">
      <c r="B287" s="68"/>
      <c r="C287" s="68" t="s">
        <v>293</v>
      </c>
      <c r="D287" s="69">
        <v>2314</v>
      </c>
      <c r="E287" s="205">
        <v>28986</v>
      </c>
      <c r="F287" s="69">
        <v>0</v>
      </c>
      <c r="G287" s="64"/>
      <c r="H287" s="64"/>
      <c r="I287" s="64"/>
      <c r="J287" s="64"/>
      <c r="K287" s="64"/>
      <c r="L287" s="31"/>
    </row>
    <row r="288" spans="2:12" ht="17.25" x14ac:dyDescent="0.3">
      <c r="B288" s="68"/>
      <c r="C288" s="68" t="s">
        <v>49</v>
      </c>
      <c r="D288" s="69">
        <v>879</v>
      </c>
      <c r="E288" s="205">
        <v>2350.8353906916996</v>
      </c>
      <c r="F288" s="69">
        <v>37</v>
      </c>
      <c r="G288" s="64"/>
      <c r="H288" s="64"/>
      <c r="I288" s="64"/>
      <c r="J288" s="38"/>
      <c r="K288" s="31"/>
      <c r="L288" s="31"/>
    </row>
    <row r="289" spans="2:12" ht="18" thickBot="1" x14ac:dyDescent="0.35">
      <c r="B289" s="85"/>
      <c r="C289" s="85" t="s">
        <v>48</v>
      </c>
      <c r="D289" s="121">
        <v>0.72449999999999992</v>
      </c>
      <c r="E289" s="121">
        <v>5</v>
      </c>
      <c r="F289" s="121">
        <v>0</v>
      </c>
      <c r="G289" s="64"/>
      <c r="H289" s="64"/>
      <c r="I289" s="64"/>
      <c r="J289" s="114"/>
      <c r="K289" s="31"/>
      <c r="L289" s="31"/>
    </row>
    <row r="290" spans="2:12" ht="17.25" x14ac:dyDescent="0.3">
      <c r="B290" s="415" t="s">
        <v>296</v>
      </c>
      <c r="C290" s="415"/>
      <c r="D290" s="67"/>
      <c r="E290" s="67"/>
      <c r="F290" s="67"/>
      <c r="G290" s="64"/>
      <c r="H290" s="64"/>
      <c r="I290" s="64"/>
      <c r="J290" s="115"/>
      <c r="K290" s="31"/>
      <c r="L290" s="31"/>
    </row>
    <row r="291" spans="2:12" ht="17.25" x14ac:dyDescent="0.3">
      <c r="B291" s="79"/>
      <c r="C291" s="79" t="s">
        <v>6</v>
      </c>
      <c r="D291" s="206">
        <f>SUM(D292:D294)</f>
        <v>30539.462</v>
      </c>
      <c r="E291" s="206">
        <v>59657</v>
      </c>
      <c r="F291" s="206">
        <f t="shared" ref="F291" si="7">SUM(F292:F294)</f>
        <v>285.6105</v>
      </c>
      <c r="G291" s="113"/>
      <c r="H291" s="64"/>
      <c r="I291" s="64"/>
      <c r="J291" s="115"/>
      <c r="K291" s="31"/>
      <c r="L291" s="31"/>
    </row>
    <row r="292" spans="2:12" ht="17.25" x14ac:dyDescent="0.3">
      <c r="B292" s="79"/>
      <c r="C292" s="68" t="s">
        <v>291</v>
      </c>
      <c r="D292" s="207">
        <v>27750</v>
      </c>
      <c r="E292" s="208">
        <v>57056</v>
      </c>
      <c r="F292" s="205">
        <v>238.9905</v>
      </c>
      <c r="G292" s="64"/>
      <c r="H292" s="64"/>
      <c r="I292" s="64"/>
      <c r="J292" s="116"/>
      <c r="K292" s="31"/>
      <c r="L292" s="31"/>
    </row>
    <row r="293" spans="2:12" ht="17.25" x14ac:dyDescent="0.3">
      <c r="B293" s="79"/>
      <c r="C293" s="68" t="s">
        <v>293</v>
      </c>
      <c r="D293" s="207">
        <v>1995.4619999999986</v>
      </c>
      <c r="E293" s="208">
        <v>588.96599999999955</v>
      </c>
      <c r="F293" s="205">
        <v>0</v>
      </c>
      <c r="G293" s="64"/>
      <c r="H293" s="64"/>
      <c r="I293" s="64"/>
      <c r="J293" s="64"/>
      <c r="K293" s="64"/>
      <c r="L293" s="31"/>
    </row>
    <row r="294" spans="2:12" ht="17.25" x14ac:dyDescent="0.3">
      <c r="B294" s="79"/>
      <c r="C294" s="68" t="s">
        <v>49</v>
      </c>
      <c r="D294" s="207">
        <v>794</v>
      </c>
      <c r="E294" s="208">
        <v>2004</v>
      </c>
      <c r="F294" s="207">
        <v>46.620000000000019</v>
      </c>
      <c r="G294" s="64"/>
      <c r="H294" s="64"/>
      <c r="I294" s="64"/>
      <c r="J294" s="31"/>
      <c r="K294" s="64"/>
      <c r="L294" s="31"/>
    </row>
    <row r="295" spans="2:12" ht="18" thickBot="1" x14ac:dyDescent="0.35">
      <c r="B295" s="85"/>
      <c r="C295" s="85" t="s">
        <v>48</v>
      </c>
      <c r="D295" s="121" t="s">
        <v>19</v>
      </c>
      <c r="E295" s="209">
        <v>8.0639999999999983</v>
      </c>
      <c r="F295" s="121">
        <v>0</v>
      </c>
      <c r="G295" s="64"/>
      <c r="H295" s="64"/>
      <c r="I295" s="64"/>
      <c r="J295" s="31"/>
      <c r="K295" s="64"/>
      <c r="L295" s="31"/>
    </row>
    <row r="296" spans="2:12" ht="17.25" x14ac:dyDescent="0.3">
      <c r="B296" s="415" t="s">
        <v>288</v>
      </c>
      <c r="C296" s="415"/>
      <c r="D296" s="67"/>
      <c r="E296" s="67"/>
      <c r="F296" s="67"/>
      <c r="G296" s="64"/>
      <c r="H296" s="38"/>
      <c r="I296" s="38"/>
      <c r="J296" s="31"/>
      <c r="K296" s="64"/>
      <c r="L296" s="31"/>
    </row>
    <row r="297" spans="2:12" ht="17.25" x14ac:dyDescent="0.3">
      <c r="B297" s="79"/>
      <c r="C297" s="79" t="s">
        <v>6</v>
      </c>
      <c r="D297" s="206">
        <v>33436</v>
      </c>
      <c r="E297" s="206">
        <v>65545</v>
      </c>
      <c r="F297" s="206">
        <v>271</v>
      </c>
      <c r="G297" s="64"/>
      <c r="H297" s="114"/>
      <c r="I297" s="114"/>
      <c r="J297" s="31"/>
      <c r="K297" s="64"/>
      <c r="L297" s="31"/>
    </row>
    <row r="298" spans="2:12" ht="17.25" x14ac:dyDescent="0.3">
      <c r="B298" s="79"/>
      <c r="C298" s="68" t="s">
        <v>291</v>
      </c>
      <c r="D298" s="208">
        <v>30035</v>
      </c>
      <c r="E298" s="208">
        <v>62986</v>
      </c>
      <c r="F298" s="69">
        <v>229</v>
      </c>
      <c r="G298" s="64"/>
      <c r="H298" s="116"/>
      <c r="I298" s="116"/>
      <c r="J298" s="31"/>
      <c r="K298" s="64"/>
      <c r="L298" s="31"/>
    </row>
    <row r="299" spans="2:12" ht="17.25" x14ac:dyDescent="0.3">
      <c r="B299" s="79"/>
      <c r="C299" s="68" t="s">
        <v>293</v>
      </c>
      <c r="D299" s="208">
        <v>1996</v>
      </c>
      <c r="E299" s="208">
        <v>609</v>
      </c>
      <c r="F299" s="69" t="s">
        <v>19</v>
      </c>
      <c r="G299" s="64"/>
      <c r="H299" s="116"/>
      <c r="I299" s="116"/>
      <c r="J299" s="64"/>
      <c r="K299" s="64"/>
      <c r="L299" s="31"/>
    </row>
    <row r="300" spans="2:12" ht="18" thickBot="1" x14ac:dyDescent="0.35">
      <c r="B300" s="70"/>
      <c r="C300" s="85" t="s">
        <v>49</v>
      </c>
      <c r="D300" s="210">
        <v>1405</v>
      </c>
      <c r="E300" s="210">
        <v>1950</v>
      </c>
      <c r="F300" s="210">
        <v>42</v>
      </c>
      <c r="G300" s="64"/>
      <c r="H300" s="116"/>
      <c r="I300" s="116"/>
      <c r="J300" s="64"/>
      <c r="K300" s="64"/>
      <c r="L300" s="31"/>
    </row>
    <row r="301" spans="2:12" ht="17.25" x14ac:dyDescent="0.3">
      <c r="B301" s="415" t="s">
        <v>27</v>
      </c>
      <c r="C301" s="415"/>
      <c r="D301" s="67"/>
      <c r="E301" s="67"/>
      <c r="F301" s="67"/>
      <c r="G301" s="64"/>
      <c r="H301" s="64"/>
      <c r="I301" s="64"/>
      <c r="J301" s="64"/>
      <c r="K301" s="31"/>
      <c r="L301" s="64"/>
    </row>
    <row r="302" spans="2:12" ht="17.25" x14ac:dyDescent="0.3">
      <c r="B302" s="79"/>
      <c r="C302" s="79" t="s">
        <v>6</v>
      </c>
      <c r="D302" s="197">
        <v>28290.69</v>
      </c>
      <c r="E302" s="212"/>
      <c r="F302" s="158">
        <v>490.42</v>
      </c>
      <c r="G302" s="64"/>
      <c r="H302" s="31"/>
      <c r="I302" s="31"/>
      <c r="J302" s="64"/>
      <c r="K302" s="31"/>
      <c r="L302" s="64"/>
    </row>
    <row r="303" spans="2:12" ht="17.25" x14ac:dyDescent="0.3">
      <c r="B303" s="79"/>
      <c r="C303" s="68" t="s">
        <v>291</v>
      </c>
      <c r="D303" s="149">
        <v>24837.59</v>
      </c>
      <c r="E303" s="212"/>
      <c r="F303" s="124">
        <v>418.43</v>
      </c>
      <c r="G303" s="64"/>
      <c r="H303" s="31"/>
      <c r="I303" s="31"/>
      <c r="J303" s="64"/>
      <c r="K303" s="31"/>
      <c r="L303" s="64"/>
    </row>
    <row r="304" spans="2:12" ht="17.25" x14ac:dyDescent="0.3">
      <c r="B304" s="79"/>
      <c r="C304" s="68" t="s">
        <v>293</v>
      </c>
      <c r="D304" s="149">
        <v>2070.79</v>
      </c>
      <c r="E304" s="212"/>
      <c r="F304" s="124" t="s">
        <v>19</v>
      </c>
      <c r="G304" s="64"/>
      <c r="H304" s="31"/>
      <c r="I304" s="31"/>
      <c r="J304" s="64"/>
      <c r="K304" s="31"/>
      <c r="L304" s="64"/>
    </row>
    <row r="305" spans="2:19" ht="18" thickBot="1" x14ac:dyDescent="0.35">
      <c r="B305" s="70"/>
      <c r="C305" s="85" t="s">
        <v>49</v>
      </c>
      <c r="D305" s="211">
        <v>1382.31</v>
      </c>
      <c r="E305" s="213"/>
      <c r="F305" s="125">
        <v>71.989999999999995</v>
      </c>
      <c r="G305" s="64"/>
      <c r="H305" s="31"/>
      <c r="I305" s="31"/>
      <c r="J305" s="64"/>
      <c r="K305" s="64"/>
      <c r="L305" s="64"/>
    </row>
    <row r="306" spans="2:19" ht="17.25" x14ac:dyDescent="0.3">
      <c r="B306" s="415" t="s">
        <v>28</v>
      </c>
      <c r="C306" s="415"/>
      <c r="D306" s="67"/>
      <c r="E306" s="67"/>
      <c r="F306" s="67"/>
      <c r="G306" s="64"/>
      <c r="H306" s="31"/>
      <c r="I306" s="31"/>
      <c r="J306" s="64"/>
      <c r="K306" s="64"/>
      <c r="L306" s="64"/>
    </row>
    <row r="307" spans="2:19" ht="15" customHeight="1" x14ac:dyDescent="0.3">
      <c r="B307" s="79"/>
      <c r="C307" s="79" t="s">
        <v>6</v>
      </c>
      <c r="D307" s="197">
        <v>23939.82</v>
      </c>
      <c r="E307" s="139"/>
      <c r="F307" s="158">
        <v>446.78</v>
      </c>
      <c r="G307" s="64"/>
      <c r="H307" s="64"/>
      <c r="I307" s="64"/>
      <c r="J307" s="31"/>
      <c r="K307" s="64"/>
      <c r="L307" s="111"/>
      <c r="M307" s="7"/>
      <c r="N307" s="7"/>
      <c r="O307" s="7"/>
      <c r="P307" s="7"/>
      <c r="Q307" s="7"/>
      <c r="R307" s="7"/>
      <c r="S307" s="7"/>
    </row>
    <row r="308" spans="2:19" ht="17.25" x14ac:dyDescent="0.3">
      <c r="B308" s="79"/>
      <c r="C308" s="68" t="s">
        <v>291</v>
      </c>
      <c r="D308" s="149">
        <v>23939.82</v>
      </c>
      <c r="E308" s="139"/>
      <c r="F308" s="124">
        <v>402.27</v>
      </c>
      <c r="G308" s="64"/>
      <c r="H308" s="64"/>
      <c r="I308" s="64"/>
      <c r="J308" s="31"/>
      <c r="K308" s="64"/>
      <c r="L308" s="117"/>
      <c r="M308" s="9"/>
      <c r="N308" s="9"/>
      <c r="O308" s="9"/>
      <c r="P308" s="9"/>
      <c r="Q308" s="9"/>
      <c r="R308" s="9"/>
      <c r="S308" s="9"/>
    </row>
    <row r="309" spans="2:19" ht="17.25" x14ac:dyDescent="0.3">
      <c r="B309" s="79"/>
      <c r="C309" s="68" t="s">
        <v>293</v>
      </c>
      <c r="D309" s="149">
        <v>2726.43</v>
      </c>
      <c r="E309" s="139"/>
      <c r="F309" s="124" t="s">
        <v>19</v>
      </c>
      <c r="G309" s="64"/>
      <c r="H309" s="64"/>
      <c r="I309" s="64"/>
      <c r="J309" s="31"/>
      <c r="K309" s="64"/>
      <c r="L309" s="118"/>
      <c r="M309" s="10"/>
      <c r="N309" s="9"/>
      <c r="O309" s="10"/>
      <c r="P309" s="9"/>
      <c r="Q309" s="10"/>
      <c r="R309" s="10"/>
      <c r="S309" s="9"/>
    </row>
    <row r="310" spans="2:19" ht="18" thickBot="1" x14ac:dyDescent="0.35">
      <c r="B310" s="85"/>
      <c r="C310" s="85" t="s">
        <v>49</v>
      </c>
      <c r="D310" s="85">
        <v>392.32</v>
      </c>
      <c r="E310" s="214"/>
      <c r="F310" s="125">
        <v>44.5</v>
      </c>
      <c r="G310" s="64"/>
      <c r="H310" s="64"/>
      <c r="I310" s="64"/>
      <c r="J310" s="31"/>
      <c r="K310" s="64"/>
      <c r="L310" s="118"/>
      <c r="M310" s="9"/>
      <c r="N310" s="9"/>
      <c r="O310" s="10"/>
      <c r="P310" s="9"/>
      <c r="Q310" s="9"/>
      <c r="R310" s="9"/>
      <c r="S310" s="9"/>
    </row>
    <row r="311" spans="2:19" ht="17.25" x14ac:dyDescent="0.3">
      <c r="B311" s="63"/>
      <c r="C311" s="63"/>
      <c r="D311" s="64"/>
      <c r="E311" s="64"/>
      <c r="F311" s="64"/>
      <c r="G311" s="64"/>
      <c r="H311" s="64"/>
      <c r="I311" s="64"/>
      <c r="J311" s="64"/>
      <c r="K311" s="64"/>
      <c r="L311" s="119"/>
      <c r="M311" s="11"/>
      <c r="N311" s="11"/>
      <c r="O311" s="11"/>
      <c r="P311" s="11"/>
      <c r="Q311" s="11"/>
      <c r="R311" s="11"/>
      <c r="S311" s="9"/>
    </row>
    <row r="312" spans="2:19" ht="17.25" x14ac:dyDescent="0.3">
      <c r="B312" s="63"/>
      <c r="C312" s="63"/>
      <c r="D312" s="64"/>
      <c r="E312" s="64"/>
      <c r="F312" s="64"/>
      <c r="G312" s="64"/>
      <c r="H312" s="64"/>
      <c r="I312" s="64"/>
      <c r="J312" s="64"/>
      <c r="K312" s="64"/>
      <c r="L312" s="64"/>
    </row>
    <row r="313" spans="2:19" ht="17.25" x14ac:dyDescent="0.3">
      <c r="B313" s="65" t="s">
        <v>343</v>
      </c>
      <c r="C313" s="65"/>
      <c r="D313" s="59"/>
      <c r="E313" s="59"/>
      <c r="F313" s="59"/>
      <c r="G313" s="59"/>
      <c r="H313" s="59"/>
      <c r="I313" s="59"/>
      <c r="J313" s="59"/>
      <c r="K313" s="59"/>
      <c r="L313" s="77"/>
    </row>
    <row r="314" spans="2:19" ht="6" customHeight="1" thickBot="1" x14ac:dyDescent="0.35">
      <c r="B314" s="63"/>
      <c r="C314" s="63"/>
      <c r="D314" s="64"/>
      <c r="E314" s="31"/>
      <c r="F314" s="64"/>
      <c r="G314" s="64"/>
      <c r="H314" s="64"/>
      <c r="I314" s="64"/>
      <c r="J314" s="64"/>
      <c r="K314" s="64"/>
      <c r="L314" s="31"/>
    </row>
    <row r="315" spans="2:19" ht="17.25" x14ac:dyDescent="0.3">
      <c r="B315" s="419"/>
      <c r="C315" s="420"/>
      <c r="D315" s="67" t="s">
        <v>7</v>
      </c>
      <c r="E315" s="67" t="s">
        <v>8</v>
      </c>
      <c r="F315" s="67" t="s">
        <v>26</v>
      </c>
      <c r="G315" s="67" t="s">
        <v>10</v>
      </c>
      <c r="H315" s="67" t="s">
        <v>27</v>
      </c>
      <c r="I315" s="67" t="s">
        <v>28</v>
      </c>
      <c r="J315" s="64"/>
      <c r="K315" s="40"/>
      <c r="L315" s="64"/>
    </row>
    <row r="316" spans="2:19" ht="30" customHeight="1" x14ac:dyDescent="0.3">
      <c r="B316" s="421" t="s">
        <v>344</v>
      </c>
      <c r="C316" s="422"/>
      <c r="D316" s="69">
        <v>10081.61</v>
      </c>
      <c r="E316" s="69">
        <v>3912</v>
      </c>
      <c r="F316" s="69">
        <v>4610</v>
      </c>
      <c r="G316" s="69">
        <v>4901</v>
      </c>
      <c r="H316" s="124" t="s">
        <v>345</v>
      </c>
      <c r="I316" s="423" t="s">
        <v>346</v>
      </c>
      <c r="J316" s="64"/>
      <c r="K316" s="40"/>
      <c r="L316" s="64"/>
    </row>
    <row r="317" spans="2:19" ht="30" customHeight="1" x14ac:dyDescent="0.3">
      <c r="B317" s="421" t="s">
        <v>347</v>
      </c>
      <c r="C317" s="422"/>
      <c r="D317" s="69" t="s">
        <v>19</v>
      </c>
      <c r="E317" s="69" t="s">
        <v>19</v>
      </c>
      <c r="F317" s="69" t="s">
        <v>19</v>
      </c>
      <c r="G317" s="69" t="s">
        <v>348</v>
      </c>
      <c r="H317" s="124" t="s">
        <v>349</v>
      </c>
      <c r="I317" s="423"/>
      <c r="J317" s="64"/>
      <c r="K317" s="39"/>
      <c r="L317" s="64"/>
    </row>
    <row r="318" spans="2:19" ht="30" customHeight="1" thickBot="1" x14ac:dyDescent="0.35">
      <c r="B318" s="413" t="s">
        <v>350</v>
      </c>
      <c r="C318" s="414"/>
      <c r="D318" s="121">
        <v>38550.47750450451</v>
      </c>
      <c r="E318" s="121">
        <v>47828</v>
      </c>
      <c r="F318" s="121">
        <v>47219</v>
      </c>
      <c r="G318" s="121">
        <v>48815</v>
      </c>
      <c r="H318" s="121">
        <v>41720</v>
      </c>
      <c r="I318" s="121">
        <v>47582</v>
      </c>
      <c r="J318" s="64"/>
      <c r="K318" s="64"/>
      <c r="L318" s="64"/>
    </row>
    <row r="319" spans="2:19" ht="17.25" x14ac:dyDescent="0.3">
      <c r="B319" s="63"/>
      <c r="C319" s="63"/>
      <c r="D319" s="64"/>
      <c r="E319" s="64"/>
      <c r="F319" s="64"/>
      <c r="G319" s="64"/>
      <c r="H319" s="64"/>
      <c r="I319" s="64"/>
      <c r="J319" s="64"/>
      <c r="K319" s="64"/>
      <c r="L319" s="64"/>
    </row>
    <row r="320" spans="2:19" ht="17.25" x14ac:dyDescent="0.3">
      <c r="B320" s="65" t="s">
        <v>351</v>
      </c>
      <c r="C320" s="65"/>
      <c r="D320" s="59"/>
      <c r="E320" s="59"/>
      <c r="F320" s="59"/>
      <c r="G320" s="59"/>
      <c r="H320" s="59"/>
      <c r="I320" s="59"/>
      <c r="J320" s="59"/>
      <c r="K320" s="59"/>
      <c r="L320" s="77"/>
    </row>
    <row r="321" spans="2:12" ht="6" customHeight="1" thickBot="1" x14ac:dyDescent="0.35">
      <c r="B321" s="63"/>
      <c r="C321" s="63"/>
      <c r="D321" s="64"/>
      <c r="E321" s="31"/>
      <c r="F321" s="64"/>
      <c r="G321" s="64"/>
      <c r="H321" s="64"/>
      <c r="I321" s="64"/>
      <c r="J321" s="64"/>
      <c r="K321" s="64"/>
      <c r="L321" s="31"/>
    </row>
    <row r="322" spans="2:12" ht="42.75" x14ac:dyDescent="0.3">
      <c r="B322" s="66" t="s">
        <v>7</v>
      </c>
      <c r="C322" s="67" t="s">
        <v>352</v>
      </c>
      <c r="D322" s="67" t="s">
        <v>353</v>
      </c>
      <c r="E322" s="67" t="s">
        <v>354</v>
      </c>
      <c r="F322" s="67" t="s">
        <v>355</v>
      </c>
      <c r="G322" s="67" t="s">
        <v>356</v>
      </c>
      <c r="H322" s="67" t="s">
        <v>357</v>
      </c>
      <c r="I322" s="67" t="s">
        <v>255</v>
      </c>
      <c r="J322" s="67" t="s">
        <v>358</v>
      </c>
      <c r="K322" s="64"/>
      <c r="L322" s="64"/>
    </row>
    <row r="323" spans="2:12" ht="17.25" x14ac:dyDescent="0.3">
      <c r="B323" s="68" t="s">
        <v>291</v>
      </c>
      <c r="C323" s="218">
        <v>500</v>
      </c>
      <c r="D323" s="218">
        <v>32810</v>
      </c>
      <c r="E323" s="218">
        <v>1145</v>
      </c>
      <c r="F323" s="218">
        <v>234</v>
      </c>
      <c r="G323" s="218">
        <v>2217</v>
      </c>
      <c r="H323" s="218">
        <v>1407</v>
      </c>
      <c r="I323" s="208">
        <v>48395</v>
      </c>
      <c r="J323" s="218">
        <v>173</v>
      </c>
      <c r="K323" s="64"/>
      <c r="L323" s="31"/>
    </row>
    <row r="324" spans="2:12" ht="17.25" x14ac:dyDescent="0.3">
      <c r="B324" s="68" t="s">
        <v>20</v>
      </c>
      <c r="C324" s="218" t="s">
        <v>19</v>
      </c>
      <c r="D324" s="218" t="s">
        <v>19</v>
      </c>
      <c r="E324" s="218" t="s">
        <v>19</v>
      </c>
      <c r="F324" s="218"/>
      <c r="G324" s="218">
        <v>474</v>
      </c>
      <c r="H324" s="218"/>
      <c r="I324" s="208">
        <v>238</v>
      </c>
      <c r="J324" s="218">
        <v>0</v>
      </c>
      <c r="K324" s="64"/>
      <c r="L324" s="31"/>
    </row>
    <row r="325" spans="2:12" ht="17.25" x14ac:dyDescent="0.3">
      <c r="B325" s="220" t="s">
        <v>48</v>
      </c>
      <c r="C325" s="221" t="s">
        <v>19</v>
      </c>
      <c r="D325" s="221"/>
      <c r="E325" s="221" t="s">
        <v>19</v>
      </c>
      <c r="F325" s="221"/>
      <c r="G325" s="221"/>
      <c r="H325" s="221"/>
      <c r="I325" s="222">
        <v>0</v>
      </c>
      <c r="J325" s="221">
        <v>0</v>
      </c>
      <c r="K325" s="64"/>
      <c r="L325" s="31"/>
    </row>
    <row r="326" spans="2:12" ht="14.1" hidden="1" customHeight="1" x14ac:dyDescent="0.3">
      <c r="B326" s="68"/>
      <c r="C326" s="218"/>
      <c r="D326" s="218"/>
      <c r="E326" s="218"/>
      <c r="F326" s="218"/>
      <c r="G326" s="218"/>
      <c r="H326" s="218"/>
      <c r="I326" s="208"/>
      <c r="J326" s="218"/>
      <c r="K326" s="64"/>
      <c r="L326" s="31"/>
    </row>
    <row r="327" spans="2:12" ht="18" thickBot="1" x14ac:dyDescent="0.35">
      <c r="B327" s="70" t="s">
        <v>255</v>
      </c>
      <c r="C327" s="71">
        <v>500</v>
      </c>
      <c r="D327" s="71">
        <v>32810</v>
      </c>
      <c r="E327" s="71">
        <v>1145</v>
      </c>
      <c r="F327" s="71">
        <v>234</v>
      </c>
      <c r="G327" s="71">
        <v>2454</v>
      </c>
      <c r="H327" s="71">
        <v>1407</v>
      </c>
      <c r="I327" s="71">
        <v>48632</v>
      </c>
      <c r="J327" s="71">
        <v>173</v>
      </c>
      <c r="K327" s="64"/>
      <c r="L327" s="31"/>
    </row>
    <row r="328" spans="2:12" ht="17.25" x14ac:dyDescent="0.3">
      <c r="B328" s="66" t="s">
        <v>8</v>
      </c>
      <c r="C328" s="67"/>
      <c r="D328" s="67"/>
      <c r="E328" s="67"/>
      <c r="F328" s="67"/>
      <c r="G328" s="67"/>
      <c r="H328" s="67"/>
      <c r="I328" s="67"/>
      <c r="J328" s="67"/>
      <c r="K328" s="64"/>
      <c r="L328" s="64"/>
    </row>
    <row r="329" spans="2:12" ht="17.25" x14ac:dyDescent="0.3">
      <c r="B329" s="68" t="s">
        <v>291</v>
      </c>
      <c r="C329" s="218">
        <v>3620.5599999999981</v>
      </c>
      <c r="D329" s="218">
        <v>43847.021661859697</v>
      </c>
      <c r="E329" s="218">
        <v>3894.6316818181822</v>
      </c>
      <c r="F329" s="218">
        <v>271.43799999999993</v>
      </c>
      <c r="G329" s="218">
        <v>4398.2300000000032</v>
      </c>
      <c r="H329" s="218">
        <v>594.00000000000011</v>
      </c>
      <c r="I329" s="208">
        <f>SUM(C329:H329)</f>
        <v>56625.88134367788</v>
      </c>
      <c r="J329" s="218">
        <v>101.41999999999997</v>
      </c>
      <c r="K329" s="64"/>
      <c r="L329" s="31"/>
    </row>
    <row r="330" spans="2:12" ht="17.25" x14ac:dyDescent="0.3">
      <c r="B330" s="68" t="s">
        <v>20</v>
      </c>
      <c r="C330" s="218">
        <v>0</v>
      </c>
      <c r="D330" s="218">
        <v>0</v>
      </c>
      <c r="E330" s="218">
        <v>21.620000000000005</v>
      </c>
      <c r="F330" s="218">
        <v>0</v>
      </c>
      <c r="G330" s="218">
        <v>541.78272727272736</v>
      </c>
      <c r="H330" s="218">
        <v>0</v>
      </c>
      <c r="I330" s="208">
        <f t="shared" ref="I330:I331" si="8">SUM(C330:H330)</f>
        <v>563.40272727272736</v>
      </c>
      <c r="J330" s="218">
        <v>0</v>
      </c>
      <c r="K330" s="64"/>
      <c r="L330" s="31"/>
    </row>
    <row r="331" spans="2:12" ht="17.25" x14ac:dyDescent="0.3">
      <c r="B331" s="220" t="s">
        <v>48</v>
      </c>
      <c r="C331" s="221">
        <v>0</v>
      </c>
      <c r="D331" s="221">
        <v>360.14283783783787</v>
      </c>
      <c r="E331" s="221">
        <f>218.17+7.68</f>
        <v>225.85</v>
      </c>
      <c r="F331" s="221">
        <v>0</v>
      </c>
      <c r="G331" s="221">
        <v>1235.0930000000003</v>
      </c>
      <c r="H331" s="221">
        <v>414.81000000000006</v>
      </c>
      <c r="I331" s="222">
        <f t="shared" si="8"/>
        <v>2235.8958378378384</v>
      </c>
      <c r="J331" s="221">
        <v>100.59999999999998</v>
      </c>
      <c r="K331" s="64"/>
      <c r="L331" s="31"/>
    </row>
    <row r="332" spans="2:12" ht="14.1" hidden="1" customHeight="1" x14ac:dyDescent="0.3">
      <c r="B332" s="68"/>
      <c r="C332" s="218"/>
      <c r="D332" s="218"/>
      <c r="E332" s="218"/>
      <c r="F332" s="218"/>
      <c r="G332" s="218"/>
      <c r="H332" s="218"/>
      <c r="I332" s="208"/>
      <c r="J332" s="218"/>
      <c r="K332" s="64"/>
      <c r="L332" s="31"/>
    </row>
    <row r="333" spans="2:12" ht="18" thickBot="1" x14ac:dyDescent="0.35">
      <c r="B333" s="79" t="s">
        <v>255</v>
      </c>
      <c r="C333" s="206">
        <f>SUM(C329:C332)</f>
        <v>3620.5599999999981</v>
      </c>
      <c r="D333" s="206">
        <f t="shared" ref="D333:H333" si="9">SUM(D329:D332)</f>
        <v>44207.164499697537</v>
      </c>
      <c r="E333" s="206">
        <f t="shared" si="9"/>
        <v>4142.1016818181824</v>
      </c>
      <c r="F333" s="206">
        <f t="shared" si="9"/>
        <v>271.43799999999993</v>
      </c>
      <c r="G333" s="206">
        <f t="shared" si="9"/>
        <v>6175.1057272727303</v>
      </c>
      <c r="H333" s="206">
        <f t="shared" si="9"/>
        <v>1008.8100000000002</v>
      </c>
      <c r="I333" s="206">
        <f>SUM(C333:H333)</f>
        <v>59425.179908788443</v>
      </c>
      <c r="J333" s="206">
        <f>SUM(J329:J332)</f>
        <v>202.01999999999995</v>
      </c>
      <c r="K333" s="64"/>
      <c r="L333" s="31"/>
    </row>
    <row r="334" spans="2:12" ht="17.25" x14ac:dyDescent="0.3">
      <c r="B334" s="66" t="s">
        <v>26</v>
      </c>
      <c r="C334" s="67"/>
      <c r="D334" s="67"/>
      <c r="E334" s="67"/>
      <c r="F334" s="67"/>
      <c r="G334" s="67"/>
      <c r="H334" s="67"/>
      <c r="I334" s="67"/>
      <c r="J334" s="67"/>
      <c r="K334" s="64"/>
      <c r="L334" s="64"/>
    </row>
    <row r="335" spans="2:12" ht="17.25" x14ac:dyDescent="0.3">
      <c r="B335" s="68" t="s">
        <v>291</v>
      </c>
      <c r="C335" s="224">
        <v>3801.587999999997</v>
      </c>
      <c r="D335" s="224">
        <v>46839</v>
      </c>
      <c r="E335" s="224">
        <v>3627</v>
      </c>
      <c r="F335" s="224">
        <v>274.61490000000003</v>
      </c>
      <c r="G335" s="224">
        <v>4801</v>
      </c>
      <c r="H335" s="224">
        <v>1264.2735</v>
      </c>
      <c r="I335" s="207">
        <f>SUM(C335:H335)</f>
        <v>60607.4764</v>
      </c>
      <c r="J335" s="224">
        <v>125</v>
      </c>
      <c r="K335" s="31"/>
      <c r="L335" s="64"/>
    </row>
    <row r="336" spans="2:12" ht="17.25" x14ac:dyDescent="0.3">
      <c r="B336" s="68" t="s">
        <v>20</v>
      </c>
      <c r="C336" s="224" t="s">
        <v>19</v>
      </c>
      <c r="D336" s="218" t="s">
        <v>19</v>
      </c>
      <c r="E336" s="218">
        <v>22.522500000000001</v>
      </c>
      <c r="F336" s="224" t="s">
        <v>19</v>
      </c>
      <c r="G336" s="218">
        <v>28963.200000000001</v>
      </c>
      <c r="H336" s="224" t="s">
        <v>19</v>
      </c>
      <c r="I336" s="207">
        <f>SUM(C336:H336)</f>
        <v>28985.7225</v>
      </c>
      <c r="J336" s="218">
        <v>0</v>
      </c>
      <c r="K336" s="31"/>
      <c r="L336" s="64"/>
    </row>
    <row r="337" spans="2:12" ht="17.25" x14ac:dyDescent="0.3">
      <c r="B337" s="68" t="s">
        <v>49</v>
      </c>
      <c r="C337" s="224" t="s">
        <v>19</v>
      </c>
      <c r="D337" s="224">
        <v>380</v>
      </c>
      <c r="E337" s="224">
        <v>311</v>
      </c>
      <c r="F337" s="224" t="s">
        <v>19</v>
      </c>
      <c r="G337" s="224">
        <v>1292</v>
      </c>
      <c r="H337" s="224">
        <v>369</v>
      </c>
      <c r="I337" s="207">
        <f>SUM(C337:H337)</f>
        <v>2352</v>
      </c>
      <c r="J337" s="224">
        <v>165</v>
      </c>
      <c r="K337" s="31"/>
      <c r="L337" s="64"/>
    </row>
    <row r="338" spans="2:12" ht="17.25" x14ac:dyDescent="0.3">
      <c r="B338" s="68" t="s">
        <v>48</v>
      </c>
      <c r="C338" s="224" t="s">
        <v>19</v>
      </c>
      <c r="D338" s="224" t="s">
        <v>19</v>
      </c>
      <c r="E338" s="224">
        <v>5.04</v>
      </c>
      <c r="F338" s="224" t="s">
        <v>19</v>
      </c>
      <c r="G338" s="224" t="s">
        <v>19</v>
      </c>
      <c r="H338" s="224" t="s">
        <v>19</v>
      </c>
      <c r="I338" s="207">
        <f>SUM(C338:H338)</f>
        <v>5.04</v>
      </c>
      <c r="J338" s="224" t="s">
        <v>19</v>
      </c>
      <c r="K338" s="31"/>
      <c r="L338" s="64"/>
    </row>
    <row r="339" spans="2:12" ht="18" thickBot="1" x14ac:dyDescent="0.35">
      <c r="B339" s="79" t="s">
        <v>255</v>
      </c>
      <c r="C339" s="225">
        <f>SUM(C335:C338)</f>
        <v>3801.587999999997</v>
      </c>
      <c r="D339" s="206">
        <f t="shared" ref="D339:H339" si="10">SUM(D335:D338)</f>
        <v>47219</v>
      </c>
      <c r="E339" s="206">
        <f t="shared" si="10"/>
        <v>3965.5625</v>
      </c>
      <c r="F339" s="225">
        <f t="shared" si="10"/>
        <v>274.61490000000003</v>
      </c>
      <c r="G339" s="206">
        <f t="shared" si="10"/>
        <v>35056.199999999997</v>
      </c>
      <c r="H339" s="206">
        <f t="shared" si="10"/>
        <v>1633.2735</v>
      </c>
      <c r="I339" s="206">
        <f>SUM(C339:H339)</f>
        <v>91950.238899999982</v>
      </c>
      <c r="J339" s="206">
        <f>SUM(J335:J338)</f>
        <v>290</v>
      </c>
      <c r="K339" s="64"/>
      <c r="L339" s="31"/>
    </row>
    <row r="340" spans="2:12" ht="17.25" customHeight="1" x14ac:dyDescent="0.3">
      <c r="B340" s="66" t="s">
        <v>296</v>
      </c>
      <c r="C340" s="66"/>
      <c r="D340" s="67"/>
      <c r="E340" s="67"/>
      <c r="F340" s="67"/>
      <c r="G340" s="67"/>
      <c r="H340" s="67"/>
      <c r="I340" s="67"/>
      <c r="J340" s="67"/>
      <c r="K340" s="64"/>
      <c r="L340" s="31"/>
    </row>
    <row r="341" spans="2:12" ht="17.25" x14ac:dyDescent="0.3">
      <c r="B341" s="68" t="s">
        <v>291</v>
      </c>
      <c r="C341" s="224">
        <v>3985</v>
      </c>
      <c r="D341" s="224">
        <v>44851</v>
      </c>
      <c r="E341" s="224">
        <v>3240</v>
      </c>
      <c r="F341" s="224">
        <v>108.18149999999999</v>
      </c>
      <c r="G341" s="224">
        <v>4393</v>
      </c>
      <c r="H341" s="224">
        <v>478</v>
      </c>
      <c r="I341" s="224">
        <f>SUM(C341:H341)</f>
        <v>57055.181499999999</v>
      </c>
      <c r="J341" s="224">
        <v>118</v>
      </c>
      <c r="K341" s="64"/>
      <c r="L341" s="31"/>
    </row>
    <row r="342" spans="2:12" ht="17.25" x14ac:dyDescent="0.3">
      <c r="B342" s="68" t="s">
        <v>20</v>
      </c>
      <c r="C342" s="224">
        <v>0</v>
      </c>
      <c r="D342" s="224">
        <v>0</v>
      </c>
      <c r="E342" s="224">
        <v>46</v>
      </c>
      <c r="F342" s="224">
        <v>0</v>
      </c>
      <c r="G342" s="224">
        <v>544</v>
      </c>
      <c r="H342" s="224">
        <v>0</v>
      </c>
      <c r="I342" s="224">
        <f>SUM(C342:H342)</f>
        <v>590</v>
      </c>
      <c r="J342" s="224" t="s">
        <v>19</v>
      </c>
      <c r="K342" s="64"/>
      <c r="L342" s="31"/>
    </row>
    <row r="343" spans="2:12" ht="17.25" x14ac:dyDescent="0.3">
      <c r="B343" s="68" t="s">
        <v>49</v>
      </c>
      <c r="C343" s="224">
        <v>0</v>
      </c>
      <c r="D343" s="224">
        <v>369.05399999999997</v>
      </c>
      <c r="E343" s="224">
        <v>378.70349999999991</v>
      </c>
      <c r="F343" s="224">
        <v>0</v>
      </c>
      <c r="G343" s="224">
        <v>1073</v>
      </c>
      <c r="H343" s="224">
        <v>184</v>
      </c>
      <c r="I343" s="224">
        <f>SUM(C343:H343)</f>
        <v>2004.7574999999999</v>
      </c>
      <c r="J343" s="224">
        <v>40</v>
      </c>
      <c r="K343" s="64"/>
      <c r="L343" s="31"/>
    </row>
    <row r="344" spans="2:12" ht="18" thickBot="1" x14ac:dyDescent="0.35">
      <c r="B344" s="70" t="s">
        <v>255</v>
      </c>
      <c r="C344" s="226">
        <f>SUM(C341:C343)</f>
        <v>3985</v>
      </c>
      <c r="D344" s="227">
        <f t="shared" ref="D344:H344" si="11">SUM(D341:D343)</f>
        <v>45220.053999999996</v>
      </c>
      <c r="E344" s="226">
        <f>SUM(E341:E343)</f>
        <v>3664.7035000000001</v>
      </c>
      <c r="F344" s="226">
        <f t="shared" si="11"/>
        <v>108.18149999999999</v>
      </c>
      <c r="G344" s="226">
        <f t="shared" si="11"/>
        <v>6010</v>
      </c>
      <c r="H344" s="226">
        <f t="shared" si="11"/>
        <v>662</v>
      </c>
      <c r="I344" s="226">
        <f>SUM(C344:H344)</f>
        <v>59649.938999999998</v>
      </c>
      <c r="J344" s="226">
        <f>SUM(J341:J343)</f>
        <v>158</v>
      </c>
      <c r="K344" s="64"/>
      <c r="L344" s="31"/>
    </row>
    <row r="345" spans="2:12" ht="17.25" x14ac:dyDescent="0.3">
      <c r="B345" s="126" t="s">
        <v>288</v>
      </c>
      <c r="C345" s="126"/>
      <c r="D345" s="127"/>
      <c r="E345" s="127"/>
      <c r="F345" s="127"/>
      <c r="G345" s="127"/>
      <c r="H345" s="127"/>
      <c r="I345" s="127"/>
      <c r="J345" s="64"/>
      <c r="K345" s="64"/>
      <c r="L345" s="31"/>
    </row>
    <row r="346" spans="2:12" ht="17.25" x14ac:dyDescent="0.3">
      <c r="B346" s="68" t="s">
        <v>291</v>
      </c>
      <c r="C346" s="208">
        <v>1260</v>
      </c>
      <c r="D346" s="208">
        <v>47555</v>
      </c>
      <c r="E346" s="208">
        <v>4150</v>
      </c>
      <c r="F346" s="68">
        <v>106</v>
      </c>
      <c r="G346" s="208">
        <v>4537</v>
      </c>
      <c r="H346" s="68">
        <v>515</v>
      </c>
      <c r="I346" s="208">
        <v>58123</v>
      </c>
      <c r="J346" s="64"/>
      <c r="K346" s="64"/>
      <c r="L346" s="31"/>
    </row>
    <row r="347" spans="2:12" ht="17.25" x14ac:dyDescent="0.3">
      <c r="B347" s="68" t="s">
        <v>20</v>
      </c>
      <c r="C347" s="124" t="s">
        <v>19</v>
      </c>
      <c r="D347" s="124"/>
      <c r="E347" s="68">
        <v>59</v>
      </c>
      <c r="F347" s="124" t="s">
        <v>19</v>
      </c>
      <c r="G347" s="208">
        <v>550</v>
      </c>
      <c r="H347" s="124" t="s">
        <v>19</v>
      </c>
      <c r="I347" s="208">
        <v>609</v>
      </c>
      <c r="J347" s="64"/>
      <c r="K347" s="64"/>
      <c r="L347" s="31"/>
    </row>
    <row r="348" spans="2:12" ht="17.25" x14ac:dyDescent="0.3">
      <c r="B348" s="68" t="s">
        <v>49</v>
      </c>
      <c r="C348" s="68">
        <v>351</v>
      </c>
      <c r="D348" s="68"/>
      <c r="E348" s="68">
        <v>361</v>
      </c>
      <c r="F348" s="124" t="s">
        <v>19</v>
      </c>
      <c r="G348" s="208">
        <v>1023</v>
      </c>
      <c r="H348" s="68">
        <v>176</v>
      </c>
      <c r="I348" s="208">
        <v>1912</v>
      </c>
      <c r="J348" s="64"/>
      <c r="K348" s="64"/>
      <c r="L348" s="31"/>
    </row>
    <row r="349" spans="2:12" ht="18" thickBot="1" x14ac:dyDescent="0.35">
      <c r="B349" s="79" t="s">
        <v>255</v>
      </c>
      <c r="C349" s="206">
        <f>SUM(C346:C348)</f>
        <v>1611</v>
      </c>
      <c r="D349" s="206">
        <f>SUM(D346:D348)</f>
        <v>47555</v>
      </c>
      <c r="E349" s="206">
        <v>4570</v>
      </c>
      <c r="F349" s="79">
        <v>106</v>
      </c>
      <c r="G349" s="206">
        <v>6111</v>
      </c>
      <c r="H349" s="79">
        <v>691</v>
      </c>
      <c r="I349" s="206">
        <f>SUM(C349:H349)</f>
        <v>60644</v>
      </c>
      <c r="J349" s="64"/>
      <c r="K349" s="64"/>
      <c r="L349" s="31"/>
    </row>
    <row r="350" spans="2:12" ht="17.25" x14ac:dyDescent="0.3">
      <c r="B350" s="66" t="s">
        <v>27</v>
      </c>
      <c r="C350" s="66"/>
      <c r="D350" s="67"/>
      <c r="E350" s="67"/>
      <c r="F350" s="67"/>
      <c r="G350" s="67"/>
      <c r="H350" s="67"/>
      <c r="I350" s="67"/>
      <c r="J350" s="64"/>
      <c r="K350" s="64"/>
      <c r="L350" s="31"/>
    </row>
    <row r="351" spans="2:12" ht="17.25" x14ac:dyDescent="0.3">
      <c r="B351" s="68" t="s">
        <v>291</v>
      </c>
      <c r="C351" s="208">
        <v>3371</v>
      </c>
      <c r="D351" s="208">
        <v>38349</v>
      </c>
      <c r="E351" s="208">
        <v>3887</v>
      </c>
      <c r="F351" s="68">
        <v>33</v>
      </c>
      <c r="G351" s="208">
        <v>1238</v>
      </c>
      <c r="H351" s="68">
        <v>522</v>
      </c>
      <c r="I351" s="208">
        <f>SUM(C351:H351)</f>
        <v>47400</v>
      </c>
      <c r="J351" s="64"/>
      <c r="K351" s="31"/>
      <c r="L351" s="31"/>
    </row>
    <row r="352" spans="2:12" ht="17.25" x14ac:dyDescent="0.3">
      <c r="B352" s="68" t="s">
        <v>20</v>
      </c>
      <c r="C352" s="124" t="s">
        <v>19</v>
      </c>
      <c r="D352" s="124"/>
      <c r="E352" s="124">
        <v>31</v>
      </c>
      <c r="F352" s="124" t="s">
        <v>19</v>
      </c>
      <c r="G352" s="69">
        <v>7968</v>
      </c>
      <c r="H352" s="124">
        <v>9</v>
      </c>
      <c r="I352" s="69">
        <v>8008</v>
      </c>
      <c r="J352" s="64"/>
      <c r="K352" s="31"/>
      <c r="L352" s="31"/>
    </row>
    <row r="353" spans="2:12" ht="17.25" x14ac:dyDescent="0.3">
      <c r="B353" s="68" t="s">
        <v>49</v>
      </c>
      <c r="C353" s="124">
        <v>319</v>
      </c>
      <c r="D353" s="124"/>
      <c r="E353" s="124">
        <v>268</v>
      </c>
      <c r="F353" s="124" t="s">
        <v>19</v>
      </c>
      <c r="G353" s="69">
        <v>1033</v>
      </c>
      <c r="H353" s="124">
        <v>161</v>
      </c>
      <c r="I353" s="69">
        <v>1781</v>
      </c>
      <c r="J353" s="64"/>
      <c r="K353" s="64"/>
      <c r="L353" s="31"/>
    </row>
    <row r="354" spans="2:12" ht="18" thickBot="1" x14ac:dyDescent="0.35">
      <c r="B354" s="79" t="s">
        <v>255</v>
      </c>
      <c r="C354" s="206">
        <v>42039</v>
      </c>
      <c r="D354" s="206"/>
      <c r="E354" s="206">
        <v>4186</v>
      </c>
      <c r="F354" s="79">
        <v>33</v>
      </c>
      <c r="G354" s="206">
        <v>10239</v>
      </c>
      <c r="H354" s="79">
        <v>693</v>
      </c>
      <c r="I354" s="206">
        <v>57191</v>
      </c>
      <c r="J354" s="64"/>
      <c r="K354" s="64"/>
      <c r="L354" s="31"/>
    </row>
    <row r="355" spans="2:12" ht="17.25" x14ac:dyDescent="0.3">
      <c r="B355" s="66" t="s">
        <v>359</v>
      </c>
      <c r="C355" s="66"/>
      <c r="D355" s="67"/>
      <c r="E355" s="67"/>
      <c r="F355" s="67"/>
      <c r="G355" s="67"/>
      <c r="H355" s="67"/>
      <c r="I355" s="67"/>
      <c r="J355" s="64"/>
      <c r="K355" s="64"/>
      <c r="L355" s="31"/>
    </row>
    <row r="356" spans="2:12" ht="17.25" x14ac:dyDescent="0.3">
      <c r="B356" s="68" t="s">
        <v>274</v>
      </c>
      <c r="C356" s="124">
        <v>308</v>
      </c>
      <c r="D356" s="69" t="s">
        <v>360</v>
      </c>
      <c r="E356" s="69">
        <v>2307</v>
      </c>
      <c r="F356" s="124">
        <v>435.34</v>
      </c>
      <c r="G356" s="69">
        <v>1234</v>
      </c>
      <c r="H356" s="124">
        <v>574.63</v>
      </c>
      <c r="I356" s="141">
        <v>9353.9699999999993</v>
      </c>
      <c r="J356" s="64"/>
      <c r="K356" s="64"/>
      <c r="L356" s="31"/>
    </row>
    <row r="357" spans="2:12" ht="17.25" x14ac:dyDescent="0.3">
      <c r="B357" s="68" t="s">
        <v>20</v>
      </c>
      <c r="C357" s="124" t="s">
        <v>19</v>
      </c>
      <c r="D357" s="124"/>
      <c r="E357" s="124" t="s">
        <v>19</v>
      </c>
      <c r="F357" s="124">
        <v>57.31</v>
      </c>
      <c r="G357" s="124">
        <v>3772.82</v>
      </c>
      <c r="H357" s="141">
        <v>2260.2399999999998</v>
      </c>
      <c r="I357" s="141">
        <v>9920.5</v>
      </c>
      <c r="J357" s="64"/>
      <c r="K357" s="64"/>
      <c r="L357" s="31"/>
    </row>
    <row r="358" spans="2:12" ht="17.25" x14ac:dyDescent="0.3">
      <c r="B358" s="68" t="s">
        <v>93</v>
      </c>
      <c r="C358" s="124" t="s">
        <v>19</v>
      </c>
      <c r="D358" s="124"/>
      <c r="E358" s="69">
        <v>151000</v>
      </c>
      <c r="F358" s="124" t="s">
        <v>19</v>
      </c>
      <c r="G358" s="124" t="s">
        <v>19</v>
      </c>
      <c r="H358" s="124" t="s">
        <v>19</v>
      </c>
      <c r="I358" s="69">
        <v>151000</v>
      </c>
      <c r="J358" s="64"/>
      <c r="K358" s="64"/>
      <c r="L358" s="31"/>
    </row>
    <row r="359" spans="2:12" ht="18" thickBot="1" x14ac:dyDescent="0.35">
      <c r="B359" s="230" t="s">
        <v>361</v>
      </c>
      <c r="C359" s="72">
        <v>47274</v>
      </c>
      <c r="D359" s="72"/>
      <c r="E359" s="72">
        <v>153307</v>
      </c>
      <c r="F359" s="223">
        <v>492.55</v>
      </c>
      <c r="G359" s="223">
        <v>8490.49</v>
      </c>
      <c r="H359" s="223">
        <v>338.87</v>
      </c>
      <c r="I359" s="143">
        <v>209902.91</v>
      </c>
      <c r="J359" s="64"/>
      <c r="K359" s="64"/>
      <c r="L359" s="31"/>
    </row>
    <row r="360" spans="2:12" ht="17.25" x14ac:dyDescent="0.3">
      <c r="B360" s="74"/>
      <c r="C360" s="74"/>
      <c r="D360" s="64"/>
      <c r="E360" s="64"/>
      <c r="F360" s="64"/>
      <c r="G360" s="64"/>
      <c r="H360" s="64"/>
      <c r="I360" s="64"/>
      <c r="J360" s="64"/>
      <c r="K360" s="64"/>
      <c r="L360" s="31"/>
    </row>
    <row r="361" spans="2:12" ht="25.5" x14ac:dyDescent="0.3">
      <c r="B361" s="98" t="s">
        <v>362</v>
      </c>
      <c r="C361" s="98"/>
      <c r="D361" s="64"/>
      <c r="E361" s="64"/>
      <c r="F361" s="64"/>
      <c r="G361" s="64"/>
      <c r="H361" s="64"/>
      <c r="I361" s="64"/>
      <c r="J361" s="64"/>
      <c r="K361" s="31"/>
      <c r="L361" s="31"/>
    </row>
    <row r="362" spans="2:12" ht="17.25" x14ac:dyDescent="0.3">
      <c r="B362" s="65" t="s">
        <v>272</v>
      </c>
      <c r="C362" s="65"/>
      <c r="D362" s="59"/>
      <c r="E362" s="59"/>
      <c r="F362" s="59"/>
      <c r="G362" s="59"/>
      <c r="H362" s="59"/>
      <c r="I362" s="59"/>
      <c r="J362" s="59"/>
      <c r="K362" s="59"/>
      <c r="L362" s="77"/>
    </row>
    <row r="363" spans="2:12" ht="6" customHeight="1" thickBot="1" x14ac:dyDescent="0.35">
      <c r="B363" s="63"/>
      <c r="C363" s="63"/>
      <c r="D363" s="64"/>
      <c r="E363" s="31"/>
      <c r="F363" s="64"/>
      <c r="G363" s="64"/>
      <c r="H363" s="64"/>
      <c r="I363" s="64"/>
      <c r="J363" s="64"/>
      <c r="K363" s="64"/>
      <c r="L363" s="31"/>
    </row>
    <row r="364" spans="2:12" ht="17.25" x14ac:dyDescent="0.3">
      <c r="B364" s="67"/>
      <c r="C364" s="67" t="s">
        <v>7</v>
      </c>
      <c r="D364" s="67" t="s">
        <v>8</v>
      </c>
      <c r="E364" s="67" t="s">
        <v>26</v>
      </c>
      <c r="F364" s="67" t="s">
        <v>10</v>
      </c>
      <c r="G364" s="64"/>
      <c r="H364" s="64"/>
      <c r="I364" s="64"/>
      <c r="J364" s="64"/>
      <c r="K364" s="64"/>
    </row>
    <row r="365" spans="2:12" ht="17.25" x14ac:dyDescent="0.3">
      <c r="B365" s="68" t="s">
        <v>273</v>
      </c>
      <c r="C365" s="385">
        <v>14119.254999999999</v>
      </c>
      <c r="D365" s="69">
        <v>15690</v>
      </c>
      <c r="E365" s="69">
        <v>13587</v>
      </c>
      <c r="F365" s="69">
        <v>17465</v>
      </c>
      <c r="G365" s="64"/>
      <c r="H365" s="64"/>
      <c r="I365" s="64"/>
      <c r="J365" s="64"/>
      <c r="K365" s="64"/>
    </row>
    <row r="366" spans="2:12" ht="17.25" x14ac:dyDescent="0.3">
      <c r="B366" s="68" t="s">
        <v>275</v>
      </c>
      <c r="C366" s="385">
        <v>4564.4409999999998</v>
      </c>
      <c r="D366" s="69">
        <f>7533+1235</f>
        <v>8768</v>
      </c>
      <c r="E366" s="69">
        <f>13402.8+28</f>
        <v>13430.8</v>
      </c>
      <c r="F366" s="139"/>
      <c r="G366" s="64"/>
      <c r="H366" s="64"/>
      <c r="I366" s="64"/>
      <c r="J366" s="64"/>
      <c r="K366" s="64"/>
    </row>
    <row r="367" spans="2:12" ht="17.25" hidden="1" x14ac:dyDescent="0.3">
      <c r="B367" s="79" t="s">
        <v>276</v>
      </c>
      <c r="C367" s="134"/>
      <c r="D367" s="120">
        <f>SUM(D365:D366)</f>
        <v>24458</v>
      </c>
      <c r="E367" s="120">
        <f>SUM(E365:E366)</f>
        <v>27017.8</v>
      </c>
      <c r="F367" s="120">
        <v>17465</v>
      </c>
      <c r="G367" s="64"/>
      <c r="H367" s="64"/>
      <c r="I367" s="64"/>
      <c r="J367" s="64"/>
      <c r="K367" s="64"/>
    </row>
    <row r="368" spans="2:12" ht="17.25" hidden="1" x14ac:dyDescent="0.3">
      <c r="B368" s="219"/>
      <c r="C368" s="134"/>
      <c r="D368" s="229"/>
      <c r="E368" s="229"/>
      <c r="F368" s="138"/>
      <c r="G368" s="64"/>
      <c r="H368" s="64"/>
      <c r="I368" s="64"/>
      <c r="J368" s="64"/>
      <c r="K368" s="64"/>
    </row>
    <row r="369" spans="2:11" ht="18" thickBot="1" x14ac:dyDescent="0.35">
      <c r="B369" s="70" t="s">
        <v>255</v>
      </c>
      <c r="C369" s="386">
        <f>SUM(C365:C366)</f>
        <v>18683.696</v>
      </c>
      <c r="D369" s="72">
        <f>SUM(D367:D368)</f>
        <v>24458</v>
      </c>
      <c r="E369" s="72">
        <f>SUM(E367:E368)</f>
        <v>27017.8</v>
      </c>
      <c r="F369" s="72">
        <v>17465</v>
      </c>
      <c r="G369" s="64"/>
      <c r="H369" s="64"/>
      <c r="I369" s="64"/>
      <c r="J369" s="64"/>
      <c r="K369" s="64"/>
    </row>
    <row r="370" spans="2:11" x14ac:dyDescent="0.25">
      <c r="B370" s="3"/>
      <c r="C370" s="6"/>
      <c r="D370" s="1"/>
      <c r="E370" s="1"/>
      <c r="F370" s="1"/>
      <c r="G370" s="1"/>
      <c r="H370" s="1"/>
      <c r="I370" s="1"/>
      <c r="J370" s="1"/>
    </row>
    <row r="371" spans="2:11" x14ac:dyDescent="0.25">
      <c r="B371" s="4"/>
      <c r="C371" s="4"/>
      <c r="D371" s="1"/>
      <c r="E371" s="1"/>
      <c r="F371" s="1"/>
      <c r="G371" s="1"/>
      <c r="H371" s="1"/>
      <c r="I371" s="1"/>
      <c r="J371" s="1"/>
    </row>
    <row r="372" spans="2:11" x14ac:dyDescent="0.25">
      <c r="B372" s="3"/>
      <c r="C372" s="3"/>
      <c r="D372" s="1"/>
      <c r="E372" s="1"/>
      <c r="F372" s="1"/>
      <c r="G372" s="1"/>
      <c r="H372" s="1"/>
      <c r="I372" s="1"/>
      <c r="J372" s="1"/>
    </row>
    <row r="373" spans="2:11" x14ac:dyDescent="0.25">
      <c r="B373" s="1"/>
      <c r="C373" s="1"/>
      <c r="D373" s="1"/>
      <c r="E373" s="1"/>
      <c r="F373" s="1"/>
      <c r="G373" s="1"/>
      <c r="H373" s="1"/>
      <c r="I373" s="1"/>
      <c r="J373" s="1"/>
    </row>
    <row r="374" spans="2:11" x14ac:dyDescent="0.25">
      <c r="B374" s="228" t="s">
        <v>363</v>
      </c>
      <c r="C374" s="2"/>
      <c r="D374" s="1"/>
      <c r="E374" s="1"/>
      <c r="F374" s="1"/>
      <c r="G374" s="1"/>
      <c r="H374" s="1"/>
      <c r="I374" s="1"/>
      <c r="J374" s="1"/>
    </row>
    <row r="375" spans="2:11" x14ac:dyDescent="0.25">
      <c r="B375" s="228" t="s">
        <v>364</v>
      </c>
      <c r="C375" s="2"/>
      <c r="D375" s="1"/>
      <c r="E375" s="1"/>
      <c r="F375" s="1"/>
      <c r="G375" s="1"/>
      <c r="H375" s="1"/>
      <c r="I375" s="1"/>
      <c r="J375" s="1"/>
    </row>
    <row r="376" spans="2:11" x14ac:dyDescent="0.25">
      <c r="B376" s="228" t="s">
        <v>365</v>
      </c>
      <c r="C376" s="2"/>
      <c r="D376" s="1"/>
      <c r="E376" s="1"/>
      <c r="F376" s="1"/>
      <c r="G376" s="1"/>
      <c r="H376" s="1"/>
      <c r="I376" s="1"/>
      <c r="J376" s="1"/>
    </row>
    <row r="377" spans="2:11" x14ac:dyDescent="0.25">
      <c r="B377" s="228" t="s">
        <v>366</v>
      </c>
      <c r="C377" s="2"/>
      <c r="D377" s="1"/>
      <c r="E377" s="1"/>
      <c r="F377" s="1"/>
      <c r="G377" s="1"/>
      <c r="H377" s="1"/>
      <c r="I377" s="1"/>
      <c r="J377" s="1"/>
    </row>
    <row r="378" spans="2:11" x14ac:dyDescent="0.25">
      <c r="B378" s="228" t="s">
        <v>367</v>
      </c>
      <c r="C378" s="2"/>
      <c r="D378" s="1"/>
      <c r="E378" s="1"/>
      <c r="F378" s="1"/>
      <c r="G378" s="1"/>
      <c r="H378" s="1"/>
      <c r="I378" s="1"/>
      <c r="J378" s="1"/>
    </row>
    <row r="379" spans="2:11" x14ac:dyDescent="0.25">
      <c r="B379" s="228" t="s">
        <v>368</v>
      </c>
      <c r="C379" s="2"/>
      <c r="D379" s="1"/>
      <c r="E379" s="1"/>
      <c r="F379" s="1"/>
      <c r="G379" s="1"/>
      <c r="H379" s="1"/>
      <c r="I379" s="1"/>
      <c r="J379" s="1"/>
    </row>
    <row r="380" spans="2:11" x14ac:dyDescent="0.25">
      <c r="B380" s="228" t="s">
        <v>369</v>
      </c>
      <c r="C380" s="2"/>
      <c r="D380" s="1"/>
      <c r="E380" s="1"/>
      <c r="F380" s="1"/>
      <c r="G380" s="1"/>
      <c r="H380" s="1"/>
      <c r="I380" s="1"/>
      <c r="J380" s="1"/>
    </row>
    <row r="381" spans="2:11" x14ac:dyDescent="0.25">
      <c r="B381" s="228" t="s">
        <v>370</v>
      </c>
      <c r="C381" s="2"/>
      <c r="D381" s="1"/>
      <c r="E381" s="1"/>
      <c r="F381" s="1"/>
      <c r="G381" s="1"/>
      <c r="H381" s="1"/>
      <c r="I381" s="1"/>
      <c r="J381" s="1"/>
    </row>
    <row r="382" spans="2:11" x14ac:dyDescent="0.25">
      <c r="B382" s="228" t="s">
        <v>371</v>
      </c>
      <c r="C382" s="2"/>
      <c r="D382" s="1"/>
      <c r="E382" s="1"/>
      <c r="F382" s="1"/>
      <c r="G382" s="1"/>
      <c r="H382" s="1"/>
      <c r="I382" s="1"/>
      <c r="J382" s="1"/>
    </row>
    <row r="383" spans="2:11" x14ac:dyDescent="0.25">
      <c r="B383" s="228" t="s">
        <v>372</v>
      </c>
      <c r="C383" s="2"/>
      <c r="D383" s="1"/>
      <c r="E383" s="1"/>
      <c r="F383" s="1"/>
      <c r="G383" s="1"/>
      <c r="H383" s="1"/>
      <c r="I383" s="1"/>
      <c r="J383" s="1"/>
    </row>
    <row r="384" spans="2:11" x14ac:dyDescent="0.25">
      <c r="B384" s="228" t="s">
        <v>373</v>
      </c>
      <c r="C384" s="2"/>
      <c r="D384" s="1"/>
      <c r="E384" s="1"/>
      <c r="F384" s="1"/>
      <c r="G384" s="1"/>
      <c r="H384" s="1"/>
      <c r="I384" s="1"/>
      <c r="J384" s="1"/>
    </row>
    <row r="385" spans="2:10" x14ac:dyDescent="0.25">
      <c r="B385" s="228" t="s">
        <v>374</v>
      </c>
      <c r="C385" s="2"/>
      <c r="D385" s="1"/>
      <c r="E385" s="1"/>
      <c r="F385" s="1"/>
      <c r="G385" s="1"/>
      <c r="H385" s="1"/>
      <c r="I385" s="1"/>
      <c r="J385" s="1"/>
    </row>
    <row r="386" spans="2:10" x14ac:dyDescent="0.25">
      <c r="B386" s="228" t="s">
        <v>375</v>
      </c>
      <c r="C386" s="2"/>
      <c r="D386" s="1"/>
      <c r="E386" s="1"/>
      <c r="F386" s="1"/>
      <c r="G386" s="1"/>
      <c r="H386" s="1"/>
      <c r="I386" s="1"/>
    </row>
    <row r="387" spans="2:10" x14ac:dyDescent="0.25">
      <c r="B387" s="228" t="s">
        <v>376</v>
      </c>
      <c r="C387" s="2"/>
      <c r="D387" s="1"/>
      <c r="E387" s="1"/>
      <c r="F387" s="1"/>
      <c r="G387" s="1"/>
      <c r="H387" s="1"/>
      <c r="I387" s="1"/>
    </row>
    <row r="388" spans="2:10" x14ac:dyDescent="0.25">
      <c r="B388" s="76" t="s">
        <v>377</v>
      </c>
      <c r="C388" s="5"/>
      <c r="D388" s="1"/>
      <c r="E388" s="1"/>
      <c r="F388" s="1"/>
      <c r="G388" s="1"/>
      <c r="H388" s="1"/>
      <c r="I388" s="1"/>
    </row>
    <row r="389" spans="2:10" x14ac:dyDescent="0.25">
      <c r="B389" s="76" t="s">
        <v>378</v>
      </c>
      <c r="C389" s="1"/>
      <c r="D389" s="1"/>
      <c r="E389" s="1"/>
      <c r="F389" s="1"/>
      <c r="G389" s="1"/>
      <c r="H389" s="1"/>
      <c r="I389" s="1"/>
    </row>
    <row r="390" spans="2:10" x14ac:dyDescent="0.25">
      <c r="B390" s="76" t="s">
        <v>379</v>
      </c>
      <c r="C390" s="1"/>
      <c r="D390" s="1"/>
      <c r="E390" s="1"/>
      <c r="F390" s="1"/>
      <c r="G390" s="1"/>
      <c r="H390" s="1"/>
      <c r="I390" s="1"/>
    </row>
    <row r="391" spans="2:10" x14ac:dyDescent="0.25">
      <c r="B391" s="76" t="s">
        <v>380</v>
      </c>
      <c r="C391" s="1"/>
      <c r="D391" s="1"/>
      <c r="E391" s="1"/>
      <c r="F391" s="1"/>
      <c r="G391" s="1"/>
      <c r="H391" s="1"/>
      <c r="I391" s="1"/>
    </row>
    <row r="392" spans="2:10" x14ac:dyDescent="0.25">
      <c r="B392" s="76" t="s">
        <v>381</v>
      </c>
      <c r="C392" s="1"/>
      <c r="D392" s="1"/>
      <c r="E392" s="1"/>
      <c r="F392" s="1"/>
      <c r="G392" s="1"/>
      <c r="H392" s="1"/>
      <c r="I392" s="1"/>
    </row>
    <row r="393" spans="2:10" x14ac:dyDescent="0.25">
      <c r="B393" s="76" t="s">
        <v>382</v>
      </c>
      <c r="C393" s="1"/>
      <c r="D393" s="1"/>
      <c r="E393" s="1"/>
      <c r="F393" s="1"/>
      <c r="G393" s="1"/>
      <c r="H393" s="1"/>
      <c r="I393" s="1"/>
    </row>
    <row r="394" spans="2:10" x14ac:dyDescent="0.25">
      <c r="B394" s="76" t="s">
        <v>383</v>
      </c>
    </row>
    <row r="395" spans="2:10" x14ac:dyDescent="0.25">
      <c r="B395" s="76" t="s">
        <v>384</v>
      </c>
    </row>
    <row r="396" spans="2:10" x14ac:dyDescent="0.25">
      <c r="B396" s="76" t="s">
        <v>385</v>
      </c>
    </row>
    <row r="397" spans="2:10" x14ac:dyDescent="0.25">
      <c r="B397" s="76" t="s">
        <v>386</v>
      </c>
    </row>
  </sheetData>
  <mergeCells count="44">
    <mergeCell ref="G44:I44"/>
    <mergeCell ref="G45:I45"/>
    <mergeCell ref="G46:I46"/>
    <mergeCell ref="I316:I317"/>
    <mergeCell ref="H238:I238"/>
    <mergeCell ref="G64:I64"/>
    <mergeCell ref="G65:I65"/>
    <mergeCell ref="G52:I52"/>
    <mergeCell ref="G53:I53"/>
    <mergeCell ref="G54:I54"/>
    <mergeCell ref="G60:I60"/>
    <mergeCell ref="G61:I61"/>
    <mergeCell ref="G55:I55"/>
    <mergeCell ref="G56:I56"/>
    <mergeCell ref="G57:I57"/>
    <mergeCell ref="G58:I58"/>
    <mergeCell ref="B290:C290"/>
    <mergeCell ref="B296:C296"/>
    <mergeCell ref="B301:C301"/>
    <mergeCell ref="B306:C306"/>
    <mergeCell ref="B238:B239"/>
    <mergeCell ref="C238:C239"/>
    <mergeCell ref="B318:C318"/>
    <mergeCell ref="B168:B169"/>
    <mergeCell ref="C168:C169"/>
    <mergeCell ref="D168:E168"/>
    <mergeCell ref="G66:I66"/>
    <mergeCell ref="G67:I67"/>
    <mergeCell ref="G68:I68"/>
    <mergeCell ref="G69:I69"/>
    <mergeCell ref="G70:I70"/>
    <mergeCell ref="F168:G168"/>
    <mergeCell ref="H168:I168"/>
    <mergeCell ref="D238:E238"/>
    <mergeCell ref="F238:G238"/>
    <mergeCell ref="B315:C315"/>
    <mergeCell ref="B316:C316"/>
    <mergeCell ref="B317:C317"/>
    <mergeCell ref="G63:I63"/>
    <mergeCell ref="G59:I59"/>
    <mergeCell ref="G48:I48"/>
    <mergeCell ref="G49:I49"/>
    <mergeCell ref="G50:I50"/>
    <mergeCell ref="G62:I62"/>
  </mergeCells>
  <phoneticPr fontId="16" type="noConversion"/>
  <hyperlinks>
    <hyperlink ref="B6" r:id="rId1" xr:uid="{00000000-0004-0000-0200-000000000000}"/>
    <hyperlink ref="B355" location="BP_01" display="FY13 [1]" xr:uid="{00000000-0004-0000-0200-000001000000}"/>
    <hyperlink ref="D356" location="BP_02" display="47,274 [2]" xr:uid="{00000000-0004-0000-0200-000002000000}"/>
    <hyperlink ref="B359" location="BP_03" display="Total [3]" xr:uid="{00000000-0004-0000-0200-000003000000}"/>
    <hyperlink ref="B141" location="_ftn4" display="Kilotonnes (kt) of CO2-e [4] (Scope 1 and 2)" xr:uid="{00000000-0004-0000-0200-000004000000}"/>
    <hyperlink ref="K143" location="_ftn5" display="FY13 [5]" xr:uid="{00000000-0004-0000-0200-000005000000}"/>
    <hyperlink ref="I145" location="BP_06" display="126.62 [6]" xr:uid="{00000000-0004-0000-0200-000006000000}"/>
    <hyperlink ref="K153" location="_ftn7" display="FY13[7]" xr:uid="{00000000-0004-0000-0200-000007000000}"/>
    <hyperlink ref="C251" location="BP_08" display="Pallets – outsourced service centres [8]" xr:uid="{00000000-0004-0000-0200-000008000000}"/>
    <hyperlink ref="C211" location="BP_11" display="Pallets Americas [11] " xr:uid="{00000000-0004-0000-0200-000009000000}"/>
    <hyperlink ref="C213" location="BP_12" display="Pallets Asia-Pacific [12]" xr:uid="{00000000-0004-0000-0200-00000A000000}"/>
    <hyperlink ref="C219" location="BP_13" display="Pallets Americas [13]" xr:uid="{00000000-0004-0000-0200-00000B000000}"/>
    <hyperlink ref="F273" location="_ftn5" display="FY13 [5]" xr:uid="{00000000-0004-0000-0200-00000C000000}"/>
    <hyperlink ref="H316" location="BP_19" display="4,472 [19]" xr:uid="{00000000-0004-0000-0200-00000D000000}"/>
    <hyperlink ref="C246" location="BP_08" display="Pallets – outsourced service centres [8]" xr:uid="{00000000-0004-0000-0200-00000E000000}"/>
    <hyperlink ref="C257" location="BP_08" display="Pallets – outsourced service centres [8]" xr:uid="{00000000-0004-0000-0200-00000F000000}"/>
    <hyperlink ref="C260" location="BP_22" display="RPCs - transport [22]" xr:uid="{00000000-0004-0000-0200-000010000000}"/>
    <hyperlink ref="C263" location="BP_08" display="Pallets – outsourced service centres [8]" xr:uid="{00000000-0004-0000-0200-000011000000}"/>
    <hyperlink ref="C266" location="BP_08" display="Pallets – outsourced service centres [8]" xr:uid="{00000000-0004-0000-0200-000012000000}"/>
    <hyperlink ref="D267" location="BP_09" display="416.95 [9]" xr:uid="{00000000-0004-0000-0200-000013000000}"/>
    <hyperlink ref="D264" location="BP_17" display="536.81 [17]" xr:uid="{00000000-0004-0000-0200-000014000000}"/>
    <hyperlink ref="C215" location="BP_18" display="Containers [18]" xr:uid="{00000000-0004-0000-0200-000015000000}"/>
    <hyperlink ref="D164" location="BP_23" display="0.21 [23]" xr:uid="{00000000-0004-0000-0200-000016000000}"/>
    <hyperlink ref="F164" location="BP_14" display="0.16 [14]" xr:uid="{00000000-0004-0000-0200-000017000000}"/>
    <hyperlink ref="I157" location="BP_18" display="64.77 [18]" xr:uid="{00000000-0004-0000-0200-000018000000}"/>
    <hyperlink ref="I154" location="BP_18" display="1,207.95 [18]" xr:uid="{00000000-0004-0000-0200-000019000000}"/>
    <hyperlink ref="I147" location="BP_18" display="5.87 [18]" xr:uid="{00000000-0004-0000-0200-00001A000000}"/>
    <hyperlink ref="I144" location="BP_18" display="155.60 [18]" xr:uid="{00000000-0004-0000-0200-00001B000000}"/>
    <hyperlink ref="G111" location="BP_21" display="545.66 [21]" xr:uid="{00000000-0004-0000-0200-00001C000000}"/>
  </hyperlinks>
  <pageMargins left="0.75" right="0.75" top="1" bottom="1" header="0.5" footer="0.5"/>
  <pageSetup paperSize="9"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R38"/>
  <sheetViews>
    <sheetView zoomScale="115" zoomScaleNormal="115" zoomScalePageLayoutView="150" workbookViewId="0">
      <selection activeCell="D13" sqref="D13"/>
    </sheetView>
  </sheetViews>
  <sheetFormatPr defaultColWidth="11" defaultRowHeight="15.75" x14ac:dyDescent="0.25"/>
  <cols>
    <col min="1" max="1" width="3.125" customWidth="1"/>
    <col min="3" max="3" width="13.375" customWidth="1"/>
    <col min="4" max="4" width="14.875" customWidth="1"/>
    <col min="5" max="5" width="14.125" customWidth="1"/>
    <col min="6" max="6" width="14.625" customWidth="1"/>
    <col min="7" max="7" width="13" customWidth="1"/>
    <col min="8" max="8" width="12.375" customWidth="1"/>
    <col min="9" max="9" width="12.875" customWidth="1"/>
    <col min="10" max="10" width="12.375" customWidth="1"/>
  </cols>
  <sheetData>
    <row r="1" spans="1:18" ht="17.25" x14ac:dyDescent="0.3">
      <c r="A1" s="21"/>
      <c r="B1" s="234" t="s">
        <v>0</v>
      </c>
      <c r="C1" s="234"/>
      <c r="D1" s="234"/>
      <c r="E1" s="234"/>
      <c r="F1" s="235"/>
      <c r="G1" s="235"/>
      <c r="H1" s="235"/>
      <c r="I1" s="235"/>
      <c r="J1" s="21"/>
      <c r="K1" s="21"/>
      <c r="L1" s="21"/>
      <c r="M1" s="21"/>
      <c r="N1" s="21"/>
      <c r="O1" s="21"/>
      <c r="P1" s="21"/>
      <c r="Q1" s="21"/>
      <c r="R1" s="21"/>
    </row>
    <row r="2" spans="1:18" ht="17.25" x14ac:dyDescent="0.3">
      <c r="A2" s="21"/>
      <c r="B2" s="234" t="s">
        <v>1</v>
      </c>
      <c r="C2" s="234"/>
      <c r="D2" s="234"/>
      <c r="E2" s="234"/>
      <c r="F2" s="235"/>
      <c r="G2" s="235"/>
      <c r="H2" s="235"/>
      <c r="I2" s="235"/>
      <c r="J2" s="21"/>
      <c r="K2" s="21"/>
      <c r="L2" s="21"/>
      <c r="M2" s="21"/>
      <c r="N2" s="21"/>
      <c r="O2" s="21"/>
      <c r="P2" s="21"/>
      <c r="Q2" s="21"/>
      <c r="R2" s="21"/>
    </row>
    <row r="3" spans="1:18" ht="8.25" customHeight="1" x14ac:dyDescent="0.3">
      <c r="A3" s="21"/>
      <c r="B3" s="234"/>
      <c r="C3" s="234"/>
      <c r="D3" s="234"/>
      <c r="E3" s="234"/>
      <c r="F3" s="235"/>
      <c r="G3" s="235"/>
      <c r="H3" s="235"/>
      <c r="I3" s="235"/>
      <c r="J3" s="21"/>
      <c r="K3" s="21"/>
      <c r="L3" s="21"/>
      <c r="M3" s="21"/>
      <c r="N3" s="21"/>
      <c r="O3" s="21"/>
      <c r="P3" s="21"/>
      <c r="Q3" s="21"/>
      <c r="R3" s="21"/>
    </row>
    <row r="4" spans="1:18" ht="15.75" customHeight="1" x14ac:dyDescent="0.3">
      <c r="A4" s="21"/>
      <c r="B4" s="234"/>
      <c r="C4" s="234"/>
      <c r="D4" s="234"/>
      <c r="E4" s="234"/>
      <c r="F4" s="235"/>
      <c r="G4" s="235"/>
      <c r="H4" s="235"/>
      <c r="I4" s="235"/>
      <c r="J4" s="21"/>
      <c r="K4" s="21"/>
      <c r="L4" s="21"/>
      <c r="M4" s="21"/>
      <c r="N4" s="21"/>
      <c r="O4" s="21"/>
      <c r="P4" s="21"/>
      <c r="Q4" s="21"/>
      <c r="R4" s="21"/>
    </row>
    <row r="5" spans="1:18" ht="27" customHeight="1" x14ac:dyDescent="0.3">
      <c r="A5" s="21"/>
      <c r="B5" s="236" t="s">
        <v>387</v>
      </c>
      <c r="C5" s="237"/>
      <c r="D5" s="237"/>
      <c r="E5" s="237"/>
      <c r="F5" s="237"/>
      <c r="G5" s="237"/>
      <c r="H5" s="237"/>
      <c r="I5" s="237"/>
      <c r="J5" s="232"/>
      <c r="K5" s="232"/>
      <c r="L5" s="232"/>
      <c r="M5" s="21"/>
      <c r="N5" s="21"/>
      <c r="O5" s="21"/>
      <c r="P5" s="21"/>
      <c r="Q5" s="21"/>
      <c r="R5" s="21"/>
    </row>
    <row r="6" spans="1:18" ht="20.25" x14ac:dyDescent="0.3">
      <c r="A6" s="233"/>
      <c r="B6" s="238" t="s">
        <v>3</v>
      </c>
      <c r="C6" s="239"/>
      <c r="D6" s="239"/>
      <c r="E6" s="237"/>
      <c r="F6" s="237"/>
      <c r="G6" s="237"/>
      <c r="H6" s="237"/>
      <c r="I6" s="237"/>
      <c r="J6" s="232"/>
      <c r="K6" s="232"/>
      <c r="L6" s="232"/>
      <c r="M6" s="21"/>
      <c r="N6" s="21"/>
      <c r="O6" s="21"/>
      <c r="P6" s="21"/>
      <c r="Q6" s="21"/>
      <c r="R6" s="21"/>
    </row>
    <row r="7" spans="1:18" ht="17.25" x14ac:dyDescent="0.3">
      <c r="A7" s="21"/>
      <c r="B7" s="238"/>
      <c r="C7" s="238"/>
      <c r="D7" s="238"/>
      <c r="E7" s="237"/>
      <c r="F7" s="237"/>
      <c r="G7" s="237"/>
      <c r="H7" s="237"/>
      <c r="I7" s="237"/>
      <c r="J7" s="232"/>
      <c r="K7" s="232"/>
      <c r="L7" s="232"/>
      <c r="M7" s="21"/>
      <c r="N7" s="21"/>
      <c r="O7" s="21"/>
      <c r="P7" s="21"/>
      <c r="Q7" s="21"/>
      <c r="R7" s="21"/>
    </row>
    <row r="8" spans="1:18" ht="3.75" customHeight="1" x14ac:dyDescent="0.3">
      <c r="A8" s="21"/>
      <c r="B8" s="240"/>
      <c r="C8" s="240"/>
      <c r="D8" s="240"/>
      <c r="E8" s="235"/>
      <c r="F8" s="235"/>
      <c r="G8" s="235"/>
      <c r="H8" s="235"/>
      <c r="I8" s="235"/>
      <c r="J8" s="21"/>
      <c r="K8" s="21"/>
      <c r="L8" s="21"/>
      <c r="M8" s="21"/>
      <c r="N8" s="21"/>
      <c r="O8" s="21"/>
      <c r="P8" s="21"/>
      <c r="Q8" s="21"/>
      <c r="R8" s="21"/>
    </row>
    <row r="9" spans="1:18" ht="17.25" x14ac:dyDescent="0.3">
      <c r="A9" s="21"/>
      <c r="B9" s="241" t="s">
        <v>388</v>
      </c>
      <c r="C9" s="241"/>
      <c r="D9" s="241"/>
      <c r="E9" s="237"/>
      <c r="F9" s="237"/>
      <c r="G9" s="237"/>
      <c r="H9" s="237"/>
      <c r="I9" s="237"/>
      <c r="J9" s="232"/>
      <c r="K9" s="232"/>
      <c r="L9" s="232"/>
      <c r="M9" s="21"/>
      <c r="N9" s="21"/>
      <c r="O9" s="21"/>
      <c r="P9" s="21"/>
      <c r="Q9" s="21"/>
      <c r="R9" s="21"/>
    </row>
    <row r="10" spans="1:18" ht="4.5" customHeight="1" thickBot="1" x14ac:dyDescent="0.35">
      <c r="A10" s="21"/>
      <c r="B10" s="242"/>
      <c r="C10" s="242"/>
      <c r="D10" s="242"/>
      <c r="E10" s="235"/>
      <c r="F10" s="235"/>
      <c r="G10" s="235"/>
      <c r="H10" s="235"/>
      <c r="I10" s="235"/>
      <c r="J10" s="21"/>
      <c r="K10" s="21"/>
      <c r="L10" s="21"/>
      <c r="M10" s="21"/>
      <c r="N10" s="21"/>
      <c r="O10" s="21"/>
      <c r="P10" s="21"/>
      <c r="Q10" s="21"/>
      <c r="R10" s="21"/>
    </row>
    <row r="11" spans="1:18" x14ac:dyDescent="0.25">
      <c r="A11" s="21"/>
      <c r="B11" s="430"/>
      <c r="C11" s="431"/>
      <c r="D11" s="332" t="s">
        <v>7</v>
      </c>
      <c r="E11" s="332" t="s">
        <v>8</v>
      </c>
      <c r="F11" s="332" t="s">
        <v>26</v>
      </c>
      <c r="G11" s="332" t="s">
        <v>10</v>
      </c>
      <c r="H11" s="332" t="s">
        <v>27</v>
      </c>
      <c r="I11" s="333" t="s">
        <v>28</v>
      </c>
      <c r="J11" s="21"/>
      <c r="K11" s="21"/>
      <c r="L11" s="21"/>
      <c r="M11" s="21"/>
      <c r="N11" s="21"/>
      <c r="O11" s="21"/>
      <c r="P11" s="21"/>
      <c r="Q11" s="21"/>
      <c r="R11" s="21"/>
    </row>
    <row r="12" spans="1:18" x14ac:dyDescent="0.25">
      <c r="A12" s="21"/>
      <c r="B12" s="334" t="s">
        <v>389</v>
      </c>
      <c r="C12" s="253"/>
      <c r="D12" s="344">
        <v>881200000</v>
      </c>
      <c r="E12" s="254">
        <v>672700000</v>
      </c>
      <c r="F12" s="254">
        <v>801100000</v>
      </c>
      <c r="G12" s="254">
        <v>829900000</v>
      </c>
      <c r="H12" s="254">
        <v>816500000</v>
      </c>
      <c r="I12" s="335">
        <v>776300000</v>
      </c>
      <c r="J12" s="21"/>
      <c r="K12" s="21"/>
      <c r="L12" s="21"/>
      <c r="M12" s="21"/>
      <c r="N12" s="21"/>
      <c r="O12" s="21"/>
      <c r="P12" s="21"/>
      <c r="Q12" s="21"/>
      <c r="R12" s="21"/>
    </row>
    <row r="13" spans="1:18" x14ac:dyDescent="0.25">
      <c r="A13" s="21"/>
      <c r="B13" s="432" t="s">
        <v>255</v>
      </c>
      <c r="C13" s="433"/>
      <c r="D13" s="244">
        <f>SUM(D15:D17)</f>
        <v>4751888.5118077341</v>
      </c>
      <c r="E13" s="244">
        <f>SUM(E15:E17)</f>
        <v>4541137.49</v>
      </c>
      <c r="F13" s="244">
        <v>3040000</v>
      </c>
      <c r="G13" s="244">
        <v>2420000</v>
      </c>
      <c r="H13" s="244">
        <v>2160000</v>
      </c>
      <c r="I13" s="336">
        <v>2049000</v>
      </c>
      <c r="J13" s="21"/>
      <c r="K13" s="21"/>
      <c r="L13" s="21"/>
      <c r="M13" s="21"/>
      <c r="N13" s="21"/>
      <c r="O13" s="21"/>
      <c r="P13" s="21"/>
      <c r="Q13" s="21"/>
      <c r="R13" s="21"/>
    </row>
    <row r="14" spans="1:18" x14ac:dyDescent="0.25">
      <c r="A14" s="21"/>
      <c r="B14" s="434" t="s">
        <v>390</v>
      </c>
      <c r="C14" s="427"/>
      <c r="D14" s="245">
        <f>IFERROR(D13/D12,0)</f>
        <v>5.3925198726824039E-3</v>
      </c>
      <c r="E14" s="245">
        <f t="shared" ref="E14:I14" si="0">E13/E12</f>
        <v>6.7506131856696896E-3</v>
      </c>
      <c r="F14" s="245">
        <f t="shared" si="0"/>
        <v>3.7947821745100488E-3</v>
      </c>
      <c r="G14" s="245">
        <f t="shared" si="0"/>
        <v>2.9160139775876613E-3</v>
      </c>
      <c r="H14" s="245">
        <f t="shared" si="0"/>
        <v>2.6454378444580526E-3</v>
      </c>
      <c r="I14" s="337">
        <f t="shared" si="0"/>
        <v>2.6394435141053716E-3</v>
      </c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25.5" customHeight="1" x14ac:dyDescent="0.25">
      <c r="A15" s="21"/>
      <c r="B15" s="434" t="s">
        <v>391</v>
      </c>
      <c r="C15" s="427"/>
      <c r="D15" s="341">
        <v>1390905.5393378753</v>
      </c>
      <c r="E15" s="246">
        <v>1248719.22</v>
      </c>
      <c r="F15" s="246">
        <v>1115743</v>
      </c>
      <c r="G15" s="246">
        <v>680000</v>
      </c>
      <c r="H15" s="246">
        <v>640000</v>
      </c>
      <c r="I15" s="338">
        <v>987000</v>
      </c>
      <c r="J15" s="21"/>
      <c r="K15" s="21"/>
      <c r="L15" s="21"/>
      <c r="M15" s="21"/>
      <c r="N15" s="21"/>
      <c r="O15" s="21"/>
      <c r="P15" s="21"/>
      <c r="Q15" s="21"/>
      <c r="R15" s="21"/>
    </row>
    <row r="16" spans="1:18" x14ac:dyDescent="0.25">
      <c r="A16" s="21"/>
      <c r="B16" s="434" t="s">
        <v>392</v>
      </c>
      <c r="C16" s="427"/>
      <c r="D16" s="342">
        <v>2921204.4494742649</v>
      </c>
      <c r="E16" s="246">
        <v>2868418.27</v>
      </c>
      <c r="F16" s="246">
        <v>1540543</v>
      </c>
      <c r="G16" s="246">
        <v>1450000</v>
      </c>
      <c r="H16" s="246">
        <v>1390000</v>
      </c>
      <c r="I16" s="338">
        <v>952000</v>
      </c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16.5" thickBot="1" x14ac:dyDescent="0.3">
      <c r="A17" s="21"/>
      <c r="B17" s="435" t="s">
        <v>393</v>
      </c>
      <c r="C17" s="436"/>
      <c r="D17" s="343">
        <v>439778.52299559372</v>
      </c>
      <c r="E17" s="339">
        <v>424000</v>
      </c>
      <c r="F17" s="339">
        <v>400000</v>
      </c>
      <c r="G17" s="339">
        <v>290000</v>
      </c>
      <c r="H17" s="339">
        <v>130000</v>
      </c>
      <c r="I17" s="340">
        <v>110000</v>
      </c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17.25" x14ac:dyDescent="0.3">
      <c r="A18" s="21"/>
      <c r="B18" s="247"/>
      <c r="C18" s="247"/>
      <c r="D18" s="247"/>
      <c r="E18" s="248"/>
      <c r="F18" s="248"/>
      <c r="G18" s="235"/>
      <c r="H18" s="235"/>
      <c r="I18" s="235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17.25" x14ac:dyDescent="0.3">
      <c r="A19" s="21"/>
      <c r="B19" s="241" t="s">
        <v>394</v>
      </c>
      <c r="C19" s="241"/>
      <c r="D19" s="241"/>
      <c r="E19" s="237"/>
      <c r="F19" s="237"/>
      <c r="G19" s="237"/>
      <c r="H19" s="237"/>
      <c r="I19" s="237"/>
      <c r="J19" s="232"/>
      <c r="K19" s="232"/>
      <c r="L19" s="232"/>
      <c r="M19" s="21"/>
      <c r="N19" s="21"/>
      <c r="O19" s="21"/>
      <c r="P19" s="21"/>
      <c r="Q19" s="21"/>
      <c r="R19" s="21"/>
    </row>
    <row r="20" spans="1:18" ht="4.5" customHeight="1" thickBot="1" x14ac:dyDescent="0.35">
      <c r="A20" s="21"/>
      <c r="B20" s="249"/>
      <c r="C20" s="249"/>
      <c r="D20" s="249"/>
      <c r="E20" s="31"/>
      <c r="F20" s="31"/>
      <c r="G20" s="31"/>
      <c r="H20" s="31"/>
      <c r="I20" s="31"/>
      <c r="M20" s="21"/>
      <c r="N20" s="21"/>
      <c r="O20" s="21"/>
      <c r="P20" s="21"/>
      <c r="Q20" s="21"/>
      <c r="R20" s="21"/>
    </row>
    <row r="21" spans="1:18" x14ac:dyDescent="0.25">
      <c r="A21" s="21"/>
      <c r="B21" s="424"/>
      <c r="C21" s="425"/>
      <c r="D21" s="243" t="s">
        <v>7</v>
      </c>
      <c r="E21" s="243" t="s">
        <v>8</v>
      </c>
      <c r="F21" s="243" t="s">
        <v>26</v>
      </c>
      <c r="G21" s="243" t="s">
        <v>10</v>
      </c>
      <c r="H21" s="243" t="s">
        <v>27</v>
      </c>
      <c r="I21" s="243" t="s">
        <v>28</v>
      </c>
      <c r="J21" s="21"/>
      <c r="K21" s="21"/>
      <c r="L21" s="21"/>
      <c r="M21" s="21"/>
      <c r="N21" s="21"/>
      <c r="O21" s="21"/>
      <c r="P21" s="21"/>
      <c r="Q21" s="21"/>
      <c r="R21" s="21"/>
    </row>
    <row r="22" spans="1:18" x14ac:dyDescent="0.25">
      <c r="A22" s="21"/>
      <c r="B22" s="426" t="s">
        <v>220</v>
      </c>
      <c r="C22" s="427"/>
      <c r="D22" s="250">
        <v>1.24</v>
      </c>
      <c r="E22" s="250">
        <v>1.25</v>
      </c>
      <c r="F22" s="250">
        <v>1.1499999999999999</v>
      </c>
      <c r="G22" s="250">
        <v>0.92</v>
      </c>
      <c r="H22" s="250">
        <v>0.83</v>
      </c>
      <c r="I22" s="250">
        <v>0.22</v>
      </c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16.5" thickBot="1" x14ac:dyDescent="0.3">
      <c r="A23" s="21"/>
      <c r="B23" s="428" t="s">
        <v>395</v>
      </c>
      <c r="C23" s="429"/>
      <c r="D23" s="251">
        <v>16939</v>
      </c>
      <c r="E23" s="251">
        <v>17221</v>
      </c>
      <c r="F23" s="251">
        <v>17214.650000000001</v>
      </c>
      <c r="G23" s="251">
        <v>12500</v>
      </c>
      <c r="H23" s="251">
        <v>11461</v>
      </c>
      <c r="I23" s="251">
        <v>3843</v>
      </c>
      <c r="J23" s="21"/>
      <c r="K23" s="21"/>
      <c r="L23" s="21"/>
      <c r="M23" s="21"/>
      <c r="N23" s="21"/>
      <c r="O23" s="21"/>
      <c r="P23" s="21"/>
      <c r="Q23" s="21"/>
      <c r="R23" s="21"/>
    </row>
    <row r="24" spans="1:18" ht="17.25" x14ac:dyDescent="0.3">
      <c r="A24" s="21"/>
      <c r="B24" s="247"/>
      <c r="C24" s="247"/>
      <c r="D24" s="247"/>
      <c r="E24" s="235"/>
      <c r="F24" s="235"/>
      <c r="G24" s="235"/>
      <c r="H24" s="235"/>
      <c r="I24" s="235"/>
      <c r="J24" s="21"/>
      <c r="K24" s="21"/>
      <c r="L24" s="21"/>
      <c r="M24" s="21"/>
      <c r="N24" s="21"/>
      <c r="O24" s="21"/>
      <c r="P24" s="21"/>
      <c r="Q24" s="21"/>
      <c r="R24" s="21"/>
    </row>
    <row r="25" spans="1:18" ht="17.25" x14ac:dyDescent="0.3">
      <c r="A25" s="21"/>
      <c r="B25" s="252" t="s">
        <v>396</v>
      </c>
      <c r="C25" s="235"/>
      <c r="D25" s="235"/>
      <c r="E25" s="235"/>
      <c r="F25" s="235"/>
      <c r="G25" s="235"/>
      <c r="H25" s="235"/>
      <c r="I25" s="235"/>
      <c r="J25" s="21"/>
      <c r="K25" s="21"/>
      <c r="L25" s="21"/>
      <c r="M25" s="21"/>
      <c r="N25" s="21"/>
      <c r="O25" s="21"/>
      <c r="P25" s="21"/>
      <c r="Q25" s="21"/>
      <c r="R25" s="21"/>
    </row>
    <row r="26" spans="1:18" ht="17.25" x14ac:dyDescent="0.3">
      <c r="A26" s="21"/>
      <c r="B26" s="235"/>
      <c r="C26" s="21"/>
      <c r="D26" s="21"/>
      <c r="E26" s="21"/>
      <c r="F26" s="21"/>
      <c r="G26" s="21"/>
      <c r="H26" s="21"/>
      <c r="I26" s="235"/>
      <c r="J26" s="21"/>
      <c r="K26" s="21"/>
      <c r="L26" s="21"/>
      <c r="M26" s="21"/>
      <c r="N26" s="21"/>
      <c r="O26" s="21"/>
      <c r="P26" s="21"/>
      <c r="Q26" s="21"/>
      <c r="R26" s="21"/>
    </row>
    <row r="27" spans="1:18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</sheetData>
  <mergeCells count="9">
    <mergeCell ref="B21:C21"/>
    <mergeCell ref="B22:C22"/>
    <mergeCell ref="B23:C23"/>
    <mergeCell ref="B11:C11"/>
    <mergeCell ref="B13:C13"/>
    <mergeCell ref="B14:C14"/>
    <mergeCell ref="B15:C15"/>
    <mergeCell ref="B16:C16"/>
    <mergeCell ref="B17:C17"/>
  </mergeCells>
  <hyperlinks>
    <hyperlink ref="B6" r:id="rId1" xr:uid="{00000000-0004-0000-0300-000000000000}"/>
  </hyperlinks>
  <pageMargins left="0.75" right="0.75" top="1" bottom="1" header="0.5" footer="0.5"/>
  <pageSetup paperSize="9"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49E9D1F3404C48BE253433F3ACEA89" ma:contentTypeVersion="9" ma:contentTypeDescription="Create a new document." ma:contentTypeScope="" ma:versionID="ee561846745b7c31af137e72b107f8f0">
  <xsd:schema xmlns:xsd="http://www.w3.org/2001/XMLSchema" xmlns:xs="http://www.w3.org/2001/XMLSchema" xmlns:p="http://schemas.microsoft.com/office/2006/metadata/properties" xmlns:ns2="490162f1-cb38-4b7d-bec0-649659a3a3a5" xmlns:ns3="34f1d843-956e-4cb1-a90e-303c4cad7799" targetNamespace="http://schemas.microsoft.com/office/2006/metadata/properties" ma:root="true" ma:fieldsID="320d67bd19ce8b6e4cfb408686fc3d15" ns2:_="" ns3:_="">
    <xsd:import namespace="490162f1-cb38-4b7d-bec0-649659a3a3a5"/>
    <xsd:import namespace="34f1d843-956e-4cb1-a90e-303c4cad77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0162f1-cb38-4b7d-bec0-649659a3a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1d843-956e-4cb1-a90e-303c4cad779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1859E4-4EFF-4139-A63B-712ADCB26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0162f1-cb38-4b7d-bec0-649659a3a3a5"/>
    <ds:schemaRef ds:uri="34f1d843-956e-4cb1-a90e-303c4cad77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680317-E6EC-492D-80D5-811EAC7258C8}">
  <ds:schemaRefs>
    <ds:schemaRef ds:uri="http://schemas.microsoft.com/office/infopath/2007/PartnerControls"/>
    <ds:schemaRef ds:uri="490162f1-cb38-4b7d-bec0-649659a3a3a5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34f1d843-956e-4cb1-a90e-303c4cad779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4DE3C90-3FE5-4935-B6A0-F3F756130A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44</vt:i4>
      </vt:variant>
    </vt:vector>
  </HeadingPairs>
  <TitlesOfParts>
    <vt:vector size="48" baseType="lpstr">
      <vt:lpstr>Sustainability Framework</vt:lpstr>
      <vt:lpstr>Better Business</vt:lpstr>
      <vt:lpstr>Better Planet</vt:lpstr>
      <vt:lpstr>Better Communities</vt:lpstr>
      <vt:lpstr>BB_01</vt:lpstr>
      <vt:lpstr>BB_02</vt:lpstr>
      <vt:lpstr>BB_03</vt:lpstr>
      <vt:lpstr>BB_05</vt:lpstr>
      <vt:lpstr>BB_08</vt:lpstr>
      <vt:lpstr>BB_09</vt:lpstr>
      <vt:lpstr>BB_10</vt:lpstr>
      <vt:lpstr>BB_11</vt:lpstr>
      <vt:lpstr>BB_12</vt:lpstr>
      <vt:lpstr>BB_13</vt:lpstr>
      <vt:lpstr>BB_14</vt:lpstr>
      <vt:lpstr>BB_15</vt:lpstr>
      <vt:lpstr>BB_16</vt:lpstr>
      <vt:lpstr>BB_17</vt:lpstr>
      <vt:lpstr>BB_18</vt:lpstr>
      <vt:lpstr>BB_19</vt:lpstr>
      <vt:lpstr>BB_20</vt:lpstr>
      <vt:lpstr>BB_21</vt:lpstr>
      <vt:lpstr>BB_22</vt:lpstr>
      <vt:lpstr>BC_01</vt:lpstr>
      <vt:lpstr>BP_01</vt:lpstr>
      <vt:lpstr>BP_02</vt:lpstr>
      <vt:lpstr>BP_03</vt:lpstr>
      <vt:lpstr>BP_04</vt:lpstr>
      <vt:lpstr>BP_05</vt:lpstr>
      <vt:lpstr>BP_06</vt:lpstr>
      <vt:lpstr>BP_07</vt:lpstr>
      <vt:lpstr>BP_08</vt:lpstr>
      <vt:lpstr>BP_09</vt:lpstr>
      <vt:lpstr>BP_10</vt:lpstr>
      <vt:lpstr>BP_11</vt:lpstr>
      <vt:lpstr>BP_12</vt:lpstr>
      <vt:lpstr>BP_13</vt:lpstr>
      <vt:lpstr>BP_14</vt:lpstr>
      <vt:lpstr>BP_15</vt:lpstr>
      <vt:lpstr>BP_16</vt:lpstr>
      <vt:lpstr>BP_17</vt:lpstr>
      <vt:lpstr>BP_18</vt:lpstr>
      <vt:lpstr>BP_19</vt:lpstr>
      <vt:lpstr>BP_20</vt:lpstr>
      <vt:lpstr>BP_21</vt:lpstr>
      <vt:lpstr>BP_22</vt:lpstr>
      <vt:lpstr>BP_23</vt:lpstr>
      <vt:lpstr>'Better Business'!Print_Area</vt:lpstr>
    </vt:vector>
  </TitlesOfParts>
  <Manager/>
  <Company>Jennifer Lorance Consulting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Lorance</dc:creator>
  <cp:keywords/>
  <dc:description/>
  <cp:lastModifiedBy>McLachlan, David</cp:lastModifiedBy>
  <cp:revision/>
  <dcterms:created xsi:type="dcterms:W3CDTF">2016-09-12T01:46:21Z</dcterms:created>
  <dcterms:modified xsi:type="dcterms:W3CDTF">2018-11-26T16:28:54Z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0x0101002949E9D1F3404C48BE253433F3ACEA89</vt:lpwstr>
  </property>
</Properties>
</file>