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showInkAnnotation="0" autoCompressPictures="0"/>
  <bookViews>
    <workbookView xWindow="17380" yWindow="0" windowWidth="27280" windowHeight="22920" tabRatio="500"/>
  </bookViews>
  <sheets>
    <sheet name="Better Business" sheetId="2" r:id="rId1"/>
    <sheet name="Better Planet" sheetId="1" r:id="rId2"/>
    <sheet name="Better Communities" sheetId="3" r:id="rId3"/>
  </sheets>
  <externalReferences>
    <externalReference r:id="rId4"/>
    <externalReference r:id="rId5"/>
    <externalReference r:id="rId6"/>
    <externalReference r:id="rId7"/>
  </externalReference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2" i="1" l="1"/>
  <c r="C332" i="1"/>
  <c r="E297" i="1"/>
  <c r="E255" i="1"/>
  <c r="D255" i="1"/>
  <c r="I167" i="1"/>
  <c r="H167" i="1"/>
  <c r="F21" i="2"/>
  <c r="C9" i="3"/>
  <c r="C10" i="3"/>
  <c r="C90" i="1"/>
  <c r="C80" i="1"/>
  <c r="C333" i="1"/>
  <c r="C335" i="1"/>
  <c r="J299" i="1"/>
  <c r="C299" i="1"/>
  <c r="D299" i="1"/>
  <c r="E299" i="1"/>
  <c r="F299" i="1"/>
  <c r="G299" i="1"/>
  <c r="H299" i="1"/>
  <c r="I299" i="1"/>
  <c r="I297" i="1"/>
  <c r="I296" i="1"/>
  <c r="I295" i="1"/>
  <c r="F252" i="1"/>
  <c r="E252" i="1"/>
  <c r="D252" i="1"/>
  <c r="D228" i="1"/>
  <c r="E228" i="1"/>
  <c r="D227" i="1"/>
  <c r="E227" i="1"/>
  <c r="D226" i="1"/>
  <c r="E226" i="1"/>
  <c r="D225" i="1"/>
  <c r="E225" i="1"/>
  <c r="D224" i="1"/>
  <c r="E224" i="1"/>
  <c r="F167" i="1"/>
  <c r="E167" i="1"/>
  <c r="D167" i="1"/>
  <c r="H166" i="1"/>
  <c r="F166" i="1"/>
  <c r="E166" i="1"/>
  <c r="D166" i="1"/>
  <c r="H165" i="1"/>
  <c r="F165" i="1"/>
  <c r="E165" i="1"/>
  <c r="D165" i="1"/>
  <c r="H164" i="1"/>
  <c r="F164" i="1"/>
  <c r="E164" i="1"/>
  <c r="D164" i="1"/>
  <c r="H163" i="1"/>
  <c r="F163" i="1"/>
  <c r="E163" i="1"/>
  <c r="D163" i="1"/>
  <c r="I162" i="1"/>
  <c r="H162" i="1"/>
  <c r="G162" i="1"/>
  <c r="F162" i="1"/>
  <c r="E162" i="1"/>
  <c r="D162" i="1"/>
  <c r="I161" i="1"/>
  <c r="H161" i="1"/>
  <c r="G161" i="1"/>
  <c r="F161" i="1"/>
  <c r="E161" i="1"/>
  <c r="D161" i="1"/>
  <c r="C139" i="1"/>
  <c r="C138" i="1"/>
  <c r="C137" i="1"/>
  <c r="C136" i="1"/>
  <c r="C125" i="1"/>
  <c r="C127" i="1"/>
  <c r="C117" i="1"/>
  <c r="C118" i="1"/>
  <c r="C119" i="1"/>
  <c r="C108" i="1"/>
  <c r="C109" i="1"/>
  <c r="C110" i="1"/>
  <c r="C111" i="1"/>
  <c r="C99" i="1"/>
  <c r="C100" i="1"/>
  <c r="C102" i="1"/>
  <c r="C91" i="1"/>
  <c r="C79" i="1"/>
  <c r="C81" i="1"/>
  <c r="F39" i="1"/>
  <c r="E39" i="1"/>
  <c r="D39" i="1"/>
  <c r="C17" i="1"/>
  <c r="D10" i="3"/>
  <c r="C172" i="2"/>
  <c r="C171" i="2"/>
  <c r="C170" i="2"/>
  <c r="C157" i="2"/>
  <c r="C156" i="2"/>
  <c r="C155" i="2"/>
  <c r="E333" i="1"/>
  <c r="E335" i="1"/>
  <c r="I317" i="1"/>
  <c r="C315" i="1"/>
  <c r="D315" i="1"/>
  <c r="I315" i="1"/>
  <c r="J310" i="1"/>
  <c r="C310" i="1"/>
  <c r="D310" i="1"/>
  <c r="E310" i="1"/>
  <c r="F310" i="1"/>
  <c r="G310" i="1"/>
  <c r="H310" i="1"/>
  <c r="I310" i="1"/>
  <c r="I309" i="1"/>
  <c r="I308" i="1"/>
  <c r="I307" i="1"/>
  <c r="J305" i="1"/>
  <c r="C305" i="1"/>
  <c r="D305" i="1"/>
  <c r="E305" i="1"/>
  <c r="F305" i="1"/>
  <c r="G305" i="1"/>
  <c r="H305" i="1"/>
  <c r="I305" i="1"/>
  <c r="I304" i="1"/>
  <c r="I303" i="1"/>
  <c r="I302" i="1"/>
  <c r="I301" i="1"/>
  <c r="E268" i="1"/>
  <c r="E266" i="1"/>
  <c r="F264" i="1"/>
  <c r="D264" i="1"/>
  <c r="E261" i="1"/>
  <c r="E240" i="1"/>
  <c r="E233" i="1"/>
  <c r="E239" i="1"/>
  <c r="D239" i="1"/>
  <c r="E238" i="1"/>
  <c r="E236" i="1"/>
  <c r="E235" i="1"/>
  <c r="E234" i="1"/>
  <c r="E230" i="1"/>
  <c r="E231" i="1"/>
  <c r="E232" i="1"/>
  <c r="E229" i="1"/>
  <c r="D229" i="1"/>
  <c r="I177" i="1"/>
  <c r="H177" i="1"/>
  <c r="G177" i="1"/>
  <c r="F177" i="1"/>
  <c r="E177" i="1"/>
  <c r="D177" i="1"/>
  <c r="F146" i="1"/>
  <c r="E146" i="1"/>
  <c r="G136" i="1"/>
  <c r="F136" i="1"/>
  <c r="E136" i="1"/>
  <c r="E91" i="1"/>
  <c r="E81" i="1"/>
  <c r="F29" i="1"/>
  <c r="E29" i="1"/>
  <c r="D29" i="1"/>
  <c r="F28" i="1"/>
  <c r="E28" i="1"/>
  <c r="D28" i="1"/>
  <c r="F27" i="1"/>
  <c r="E27" i="1"/>
  <c r="D27" i="1"/>
  <c r="F26" i="1"/>
  <c r="E26" i="1"/>
  <c r="D26" i="1"/>
  <c r="G10" i="3"/>
  <c r="F10" i="3"/>
  <c r="E10" i="3"/>
  <c r="E55" i="2"/>
  <c r="E56" i="2"/>
  <c r="D155" i="2"/>
  <c r="D156" i="2"/>
  <c r="D157" i="2"/>
  <c r="D162" i="2"/>
  <c r="D163" i="2"/>
  <c r="D164" i="2"/>
  <c r="D170" i="2"/>
  <c r="D171" i="2"/>
  <c r="D172" i="2"/>
</calcChain>
</file>

<file path=xl/sharedStrings.xml><?xml version="1.0" encoding="utf-8"?>
<sst xmlns="http://schemas.openxmlformats.org/spreadsheetml/2006/main" count="1104" uniqueCount="364">
  <si>
    <t>Brambles Sustainability information</t>
  </si>
  <si>
    <t>Better Planet</t>
  </si>
  <si>
    <t xml:space="preserve">For further information on performance, please refer to the appropriate Sustainability Review. </t>
  </si>
  <si>
    <t>Wood purchased for manufacture and repair of pallets</t>
  </si>
  <si>
    <t>FY15</t>
  </si>
  <si>
    <t>FY14</t>
  </si>
  <si>
    <t>FY13</t>
  </si>
  <si>
    <t>FY12</t>
  </si>
  <si>
    <t>Pallets Americas</t>
  </si>
  <si>
    <t>Pallets EMEA</t>
  </si>
  <si>
    <t>Pallets Asia-Pacific</t>
  </si>
  <si>
    <t>Total</t>
  </si>
  <si>
    <t>Year</t>
  </si>
  <si>
    <t>Chain of custody (COC) certification</t>
  </si>
  <si>
    <t>Certified source wood (not including COC)</t>
  </si>
  <si>
    <t>Policy compliant wood</t>
  </si>
  <si>
    <t>-</t>
  </si>
  <si>
    <t>Wood volume by continent of origin (%)</t>
  </si>
  <si>
    <t>Europe</t>
  </si>
  <si>
    <t>Australia/ New Zealand</t>
  </si>
  <si>
    <t>South America</t>
  </si>
  <si>
    <t>Africa</t>
  </si>
  <si>
    <t>North America</t>
  </si>
  <si>
    <t>Asia</t>
  </si>
  <si>
    <t>Plastic purchased for manufacture of RPCs</t>
  </si>
  <si>
    <t>Volume of plastic (tonnes)</t>
  </si>
  <si>
    <t>Group</t>
  </si>
  <si>
    <t>Detergent purchased for washing of pallets, RPCs and containers</t>
  </si>
  <si>
    <t>Volume of detergent (litres)</t>
  </si>
  <si>
    <t>Waste and recycling</t>
  </si>
  <si>
    <t>General waste, recycling and hazardous waste (metric tonnes)</t>
  </si>
  <si>
    <t>General waste</t>
  </si>
  <si>
    <t>Recycling</t>
  </si>
  <si>
    <t>Hazardous waste</t>
  </si>
  <si>
    <t xml:space="preserve">Pallets </t>
  </si>
  <si>
    <t xml:space="preserve">RPCs </t>
  </si>
  <si>
    <t>Containers</t>
  </si>
  <si>
    <t>Brambles’ recycling efforts (excluding reclaimed) (metric tonnes)</t>
  </si>
  <si>
    <t>Paper and Corrugate</t>
  </si>
  <si>
    <t>Comingled</t>
  </si>
  <si>
    <t>Plastic</t>
  </si>
  <si>
    <t>Metal</t>
  </si>
  <si>
    <t>Pallets (total)</t>
  </si>
  <si>
    <t>RPCs</t>
  </si>
  <si>
    <t>Recall</t>
  </si>
  <si>
    <t>Plastic recovered and reused in manufacture of RPCs</t>
  </si>
  <si>
    <t>IFCO</t>
  </si>
  <si>
    <t>Energy and Emissions</t>
  </si>
  <si>
    <t>Kilotonnes (kt) of CO2-e [4] (Scope 1 and 2)</t>
  </si>
  <si>
    <t>FY13 [5]</t>
  </si>
  <si>
    <t>155.60 [18]</t>
  </si>
  <si>
    <t>126.62 [6]</t>
  </si>
  <si>
    <t>N/A</t>
  </si>
  <si>
    <t>5.87 [18]</t>
  </si>
  <si>
    <t>Brambles HQ</t>
  </si>
  <si>
    <t>Terajoules (TJ) of energy (Scope 1 and 2)</t>
  </si>
  <si>
    <t>FY13[7]</t>
  </si>
  <si>
    <t>64.77 [18]</t>
  </si>
  <si>
    <t>Pallets – outsourced service centres [8]</t>
  </si>
  <si>
    <t xml:space="preserve">Pallets – transport </t>
  </si>
  <si>
    <t>536.81 [17]</t>
  </si>
  <si>
    <t>RPCs - outsourced service centres</t>
  </si>
  <si>
    <t>RPCs - transport</t>
  </si>
  <si>
    <t>Containers - outsourced service centres</t>
  </si>
  <si>
    <t>Greenhouse gas (GHG) emissions (detail)</t>
  </si>
  <si>
    <t>Scope 1</t>
  </si>
  <si>
    <t>Scope 2</t>
  </si>
  <si>
    <t>kt CO2-e</t>
  </si>
  <si>
    <t>TJ</t>
  </si>
  <si>
    <t xml:space="preserve">Pallets EMEA </t>
  </si>
  <si>
    <t>74.03 [18]</t>
  </si>
  <si>
    <t>Containers [18]</t>
  </si>
  <si>
    <t>Pallets Americas [13]</t>
  </si>
  <si>
    <t>CHEP</t>
  </si>
  <si>
    <t>GHG generation by source (%)</t>
  </si>
  <si>
    <t xml:space="preserve">Electricity </t>
  </si>
  <si>
    <t xml:space="preserve">Diesel fuel </t>
  </si>
  <si>
    <t xml:space="preserve">Natural gas </t>
  </si>
  <si>
    <t xml:space="preserve">LPG/Propane </t>
  </si>
  <si>
    <t>Motor gasoline/Petrol</t>
  </si>
  <si>
    <t xml:space="preserve">Other </t>
  </si>
  <si>
    <t>Water</t>
  </si>
  <si>
    <t>Water consumed (megalitres) [15]</t>
  </si>
  <si>
    <t>Pallets</t>
  </si>
  <si>
    <t>Water recycled (megalitres)</t>
  </si>
  <si>
    <t>Water discharged (megalitres) [16]</t>
  </si>
  <si>
    <t>Rainwater harvested (megalitres) [16]</t>
  </si>
  <si>
    <t xml:space="preserve">[1] Excludes most of the Containers businesses, the pallet businesses of IFCO PMS and Paramount Pallet as well as very small CHEP pallet sites and offices. </t>
  </si>
  <si>
    <t>[2] Wood numbers incorrect for FY13 and updated in this document.  Previously reported as 187,950.</t>
  </si>
  <si>
    <t>[3] Updated with actual data. Previously reported included a number of extrapolations</t>
  </si>
  <si>
    <t>[5] Excludes Containers businesses with the exception of CHEP Automotive and CCC, as well as very small CHEP Pallet sites and offices. Has been updated with actual data in FY14.</t>
  </si>
  <si>
    <t>[6] Includes CHEP, IFCO PMS, Lean Logistics and Paramount. Previous years included only CHEP</t>
  </si>
  <si>
    <t>[7] Has been updated with actual data in FY14</t>
  </si>
  <si>
    <t>[8] Estimate of CO2-e generated/energy used by leased and outsourced service centre sites that inspect and repair CHEP pallets.</t>
  </si>
  <si>
    <t>[9] Estimate of CO2-e generated/energy used by subcontracted transport carriers that move CHEP pallets through the network.</t>
  </si>
  <si>
    <t>[10] Includes sites that handle and condition CHEP RPCs and Containers. Retained to provide like-for-like comparatives to CHEP’s reported energy and emissions in FY11. In FY13, sites will be extracted and included in RPCs and Containers segments.</t>
  </si>
  <si>
    <t>[11] Includes CHEP, IFCO PMS, Lean Logistics &amp; Paramount</t>
  </si>
  <si>
    <t>[12] Includes CHEP pallet sites only. CHEP ANZ RPC sites captured in RPCs</t>
  </si>
  <si>
    <t>[13] Excludes IFCO PMS and Paramount Pallet sites, includes CCC sites.</t>
  </si>
  <si>
    <t>C gen gives us an understanding of the number of products (pallets, crates, or containers) that have been conditioned at our sites, which is the productivity measure we use.</t>
  </si>
  <si>
    <t>[15] Water consumption was reported for the first time in FY14</t>
  </si>
  <si>
    <t>[16] Water discharge, recycling and rainwater harvesting were reported for the first time in FY15</t>
  </si>
  <si>
    <t>[17] Figure restated due to an error in reporting in FY14</t>
  </si>
  <si>
    <t>[18] Figures restated due to an error in LPG data recorded for a European country</t>
  </si>
  <si>
    <t>[19] Figure restated due to error in data entry at one site</t>
  </si>
  <si>
    <t>FY16</t>
  </si>
  <si>
    <t xml:space="preserve">[4] Carbon dioxide equivalent (CO2-e) is the universal unit of measurement to indicate the full global warming potential (GWP) of a particular greenhouse gas emission. It takes into account the GWP of each of the six Kyoto greenhouse gases, and expresses </t>
  </si>
  <si>
    <r>
      <t>Volume of wood (m</t>
    </r>
    <r>
      <rPr>
        <b/>
        <vertAlign val="superscript"/>
        <sz val="10"/>
        <color indexed="8"/>
        <rFont val="Trebuchet MS"/>
        <family val="2"/>
      </rPr>
      <t>3</t>
    </r>
    <r>
      <rPr>
        <b/>
        <sz val="10"/>
        <color indexed="8"/>
        <rFont val="Trebuchet MS"/>
        <family val="2"/>
      </rPr>
      <t>)</t>
    </r>
  </si>
  <si>
    <r>
      <t>Wood volume (m</t>
    </r>
    <r>
      <rPr>
        <b/>
        <vertAlign val="superscript"/>
        <sz val="10"/>
        <color indexed="8"/>
        <rFont val="Trebuchet MS"/>
        <family val="2"/>
      </rPr>
      <t>3</t>
    </r>
    <r>
      <rPr>
        <b/>
        <sz val="10"/>
        <color indexed="8"/>
        <rFont val="Trebuchet MS"/>
        <family val="2"/>
      </rPr>
      <t>) by forest source certification</t>
    </r>
  </si>
  <si>
    <t>[20] Data from IFCO RPC only reported in FY15</t>
  </si>
  <si>
    <t>RPCs Total</t>
  </si>
  <si>
    <t>Corporate</t>
  </si>
  <si>
    <t>Wood reclaimed (Pallets) (metric tonnes)</t>
  </si>
  <si>
    <t>Wood (Fuel)</t>
  </si>
  <si>
    <t>Wood (Recycled)</t>
  </si>
  <si>
    <t>47,274 [2]</t>
  </si>
  <si>
    <t>Total [3]</t>
  </si>
  <si>
    <t>4,472 [19]</t>
  </si>
  <si>
    <t>43,108+</t>
  </si>
  <si>
    <t>General (power generation)</t>
  </si>
  <si>
    <t xml:space="preserve">Pallets Americas [11] </t>
  </si>
  <si>
    <t>Pallets Asia-Pacific [12]</t>
  </si>
  <si>
    <t>Volume of wood by classification and segment for the Year (%)</t>
  </si>
  <si>
    <t>Chain of custody (COC) certified</t>
  </si>
  <si>
    <t>Certified sources</t>
  </si>
  <si>
    <t>Policy compliant</t>
  </si>
  <si>
    <t>545.66 [21]</t>
  </si>
  <si>
    <t>[21] Restated from 2015 Sustainability Review due to changes in reporting</t>
  </si>
  <si>
    <t>Emissions intensity (kg per unit)</t>
  </si>
  <si>
    <t>Reused in repair and manufacture of pallets - own sites</t>
  </si>
  <si>
    <t>Reused in other ways (fuel and recycled - see below) - own sites</t>
  </si>
  <si>
    <t>Reused in repair and manufacture of pallets - OSCs</t>
  </si>
  <si>
    <t>11,205+</t>
  </si>
  <si>
    <t>13,292+</t>
  </si>
  <si>
    <t>FY15 reported</t>
  </si>
  <si>
    <t>FY15 revised for target baseline</t>
  </si>
  <si>
    <t>416.95 [9]</t>
  </si>
  <si>
    <t>FY15 revised</t>
  </si>
  <si>
    <t>Greenhouse gas (GHG) emissions (Scope 3)</t>
  </si>
  <si>
    <t>Scope 3</t>
  </si>
  <si>
    <t>0.16 [14]</t>
  </si>
  <si>
    <t>[14] kg per C-Gen: ‘C-gen’ stands for C generation stock. ‘A’ generation stock is stock awaiting inspection, ‘B’ generation stock is that which is waiting to be conditioned or repaired and ‘C’ generation (C-gen) stock has been conditioned and is ready for a customer.</t>
  </si>
  <si>
    <t>Natural Resources</t>
  </si>
  <si>
    <t>FY13 [1]</t>
  </si>
  <si>
    <t>For breakdown data, 5% is added from what is reported in the Walter s/ss (already included in totals from those s/ss)</t>
  </si>
  <si>
    <t xml:space="preserve">People performance </t>
  </si>
  <si>
    <t>Employee stats [12]</t>
  </si>
  <si>
    <t>Corporate [16]</t>
  </si>
  <si>
    <t>Recall [3]</t>
  </si>
  <si>
    <t>Permanent employees by gender (total) (% male/female)</t>
  </si>
  <si>
    <t>80.2/19.8</t>
  </si>
  <si>
    <t>80.9/19.1</t>
  </si>
  <si>
    <t>82.6/17.6</t>
  </si>
  <si>
    <t>76.8/23.2</t>
  </si>
  <si>
    <t>75.7/24.3</t>
  </si>
  <si>
    <t>90.7/9.3</t>
  </si>
  <si>
    <t>90.1/9.9</t>
  </si>
  <si>
    <t>89.1/10.9</t>
  </si>
  <si>
    <t>73.4/26.6</t>
  </si>
  <si>
    <t>73.2/26.8</t>
  </si>
  <si>
    <t>70.4/29.6</t>
  </si>
  <si>
    <t>82.9/17.1</t>
  </si>
  <si>
    <t>81.8/18.2</t>
  </si>
  <si>
    <t>82.8/17.2</t>
  </si>
  <si>
    <t>83.7/16.3</t>
  </si>
  <si>
    <t>73.7/26.3</t>
  </si>
  <si>
    <t>72.7/27.3</t>
  </si>
  <si>
    <t>71.0/29.0</t>
  </si>
  <si>
    <t>67.1/32.9</t>
  </si>
  <si>
    <t>75.0/25.0</t>
  </si>
  <si>
    <t>75.6/24.4</t>
  </si>
  <si>
    <t>81.1/18.9</t>
  </si>
  <si>
    <t>76.0/24.0</t>
  </si>
  <si>
    <t>57.0/43.0</t>
  </si>
  <si>
    <t>53.8/46.2</t>
  </si>
  <si>
    <t>66.7/33.3</t>
  </si>
  <si>
    <t>63.8/36.2</t>
  </si>
  <si>
    <t>66.2/33.8</t>
  </si>
  <si>
    <t>Permanent employees by gender (management positions) as at 30 June (% male/female)</t>
  </si>
  <si>
    <t>75.4/24.6</t>
  </si>
  <si>
    <t>74.9/25.1</t>
  </si>
  <si>
    <t>74.0/26.0</t>
  </si>
  <si>
    <t>89.8/10.2</t>
  </si>
  <si>
    <t>82.7/17.3</t>
  </si>
  <si>
    <t>80.4/16.6</t>
  </si>
  <si>
    <t>79.5/20.5</t>
  </si>
  <si>
    <t>73.0/27.0</t>
  </si>
  <si>
    <t>70.7/29.3</t>
  </si>
  <si>
    <t>67.3/32.7</t>
  </si>
  <si>
    <t>68.9/31/1</t>
  </si>
  <si>
    <t>78.1/21.9</t>
  </si>
  <si>
    <t>82.4/17.6</t>
  </si>
  <si>
    <t>78.4/21.6</t>
  </si>
  <si>
    <t>79.2/20.8</t>
  </si>
  <si>
    <t>72.1/27.9</t>
  </si>
  <si>
    <t>77.4/22.6</t>
  </si>
  <si>
    <t>80.0/20.0</t>
  </si>
  <si>
    <t>77.9/22.1</t>
  </si>
  <si>
    <t>78.6/21.4</t>
  </si>
  <si>
    <t>77.6/22.4</t>
  </si>
  <si>
    <t>69.2/30.8</t>
  </si>
  <si>
    <t>66.4/33.6</t>
  </si>
  <si>
    <t>69.1/30.9</t>
  </si>
  <si>
    <t>Employees by employment contract (%)</t>
  </si>
  <si>
    <t>Permanent</t>
  </si>
  <si>
    <t>Temporary</t>
  </si>
  <si>
    <t>Male</t>
  </si>
  <si>
    <t>Female</t>
  </si>
  <si>
    <t>Employees by employment type (%)</t>
  </si>
  <si>
    <t>Full-time</t>
  </si>
  <si>
    <t>Part-time</t>
  </si>
  <si>
    <t>Age distribution of permanent employees (%)</t>
  </si>
  <si>
    <t>&lt;30</t>
  </si>
  <si>
    <t>30-&lt;35</t>
  </si>
  <si>
    <t>35-&lt;45</t>
  </si>
  <si>
    <t>45-&lt;55</t>
  </si>
  <si>
    <t>55-&lt;65</t>
  </si>
  <si>
    <t>&gt;65</t>
  </si>
  <si>
    <t>Pallets Amercias</t>
  </si>
  <si>
    <t>&lt;25</t>
  </si>
  <si>
    <t>25-&lt;35</t>
  </si>
  <si>
    <t xml:space="preserve">Male: female salary ratios </t>
  </si>
  <si>
    <t>0.87: 1.00</t>
  </si>
  <si>
    <t>0.87: 1.00 [11]</t>
  </si>
  <si>
    <t>0.97: 1:00</t>
  </si>
  <si>
    <t>Non-management</t>
  </si>
  <si>
    <t>0.89: 1.00</t>
  </si>
  <si>
    <t>0.83: 1.00</t>
  </si>
  <si>
    <t>0.95: 1:00</t>
  </si>
  <si>
    <t>Management</t>
  </si>
  <si>
    <t>1.16: 1.00</t>
  </si>
  <si>
    <t>1.15: 1.00</t>
  </si>
  <si>
    <t>1.10: 1.00 [11]</t>
  </si>
  <si>
    <t>1.07: 1.00</t>
  </si>
  <si>
    <t>Group employees taking parental leave during the Year (%)</t>
  </si>
  <si>
    <t>FY15 [17]</t>
  </si>
  <si>
    <t>Group employees returning from parental leave during the Year as a percentage of those who took parental leave (%)</t>
  </si>
  <si>
    <t>Group employees returning to work after parental leave during the Year (%)</t>
  </si>
  <si>
    <t>Voluntary turnover of employees (%)</t>
  </si>
  <si>
    <t>Engagement [5]</t>
  </si>
  <si>
    <t>Brambles Engagement Survey participation</t>
  </si>
  <si>
    <t>Percentage of “fully engaged” employees</t>
  </si>
  <si>
    <t>Percentage of “enabled” employees (measure of supportiveness of organisational environment)</t>
  </si>
  <si>
    <t>Not reported prior to FY14</t>
  </si>
  <si>
    <t>Brambles Injury Frequency Rate (BIFR)</t>
  </si>
  <si>
    <t>Brambles Injury Frequency Rate</t>
  </si>
  <si>
    <t>9.7 events per million hours worked</t>
  </si>
  <si>
    <t>13.3 events per million hours worked</t>
  </si>
  <si>
    <t>15.6 events per million hours worked</t>
  </si>
  <si>
    <t>14.9 events per million hours worked</t>
  </si>
  <si>
    <t>BIFR by gender</t>
  </si>
  <si>
    <t>FY15 [13]</t>
  </si>
  <si>
    <t>BIFR by segment</t>
  </si>
  <si>
    <t>Pallets - Americas</t>
  </si>
  <si>
    <t>Pallets - EMEA</t>
  </si>
  <si>
    <t>Pallets - Asia-Pacific</t>
  </si>
  <si>
    <t>Pallets [8]</t>
  </si>
  <si>
    <t>Containers[9]</t>
  </si>
  <si>
    <t>Education, Training and Development</t>
  </si>
  <si>
    <t>Education, training and development days</t>
  </si>
  <si>
    <t xml:space="preserve">Education, training and development </t>
  </si>
  <si>
    <t>19,578 days</t>
  </si>
  <si>
    <t>23,800 days</t>
  </si>
  <si>
    <t>16,833 days</t>
  </si>
  <si>
    <t>50,079 days</t>
  </si>
  <si>
    <t>32,415 days</t>
  </si>
  <si>
    <t>Per employee</t>
  </si>
  <si>
    <t>Per male employee</t>
  </si>
  <si>
    <t>Per female employee</t>
  </si>
  <si>
    <t>Per non-mgt employee</t>
  </si>
  <si>
    <t>Per mgt employee</t>
  </si>
  <si>
    <t>FY15 [18]</t>
  </si>
  <si>
    <t>NR</t>
  </si>
  <si>
    <t>FY14 [10]</t>
  </si>
  <si>
    <t>[3] Recall was demerged in December 2013</t>
  </si>
  <si>
    <t>[5] Please note: all figures exclude Recall to enable comparison.</t>
  </si>
  <si>
    <t>[8] For the purposes of safety reporting the Pallets segment includes the CHEP RPCs and Containers operations in Asia-Pacific and South Africa.</t>
  </si>
  <si>
    <t>[9] For the purposes of safety reporting, the Containers segment includes the CHEP Automotive &amp; Industrial Solutions operations in Europe and the Americas, CAPS, CHEP Aerospace Solutions and the CHEP Catalyst &amp; Chemical Containers business.</t>
  </si>
  <si>
    <t>[11] Male: female salary ratios for management and non-management in FY14 were transposed when reported and have been restated here</t>
  </si>
  <si>
    <t>[12] From FY15, stats are based on a snapshot of employees as at 31 May; prior to FY15, stats were based on a snapshot of employees as at 30 June</t>
  </si>
  <si>
    <t>[13] BIFR by gender was collected for the first time for the second half of FY15.</t>
  </si>
  <si>
    <t>[14] Environmental benefits of customers' use of our pooled products was not reported prior to FY15.</t>
  </si>
  <si>
    <t>[16] In FY15, Brambles reclassified finance and IT employees into Corporate to reflect the global nature of those functions. Therefore, the reference to HQ has been updated to Corporate.</t>
  </si>
  <si>
    <t>0.91: 1.00</t>
  </si>
  <si>
    <t>Better Business</t>
  </si>
  <si>
    <t>Environmental benefits delivered in customers' supply chains [15]</t>
  </si>
  <si>
    <t>CO2-e saved (tonnes)</t>
  </si>
  <si>
    <t>Number of trees saved</t>
  </si>
  <si>
    <t>Waste eliminated from landfill (tonnes)</t>
  </si>
  <si>
    <t>Food waste eliminated (tonnes)</t>
  </si>
  <si>
    <t>Water saved (megalitres)</t>
  </si>
  <si>
    <t>CO2-e offset (tonnes) [19]</t>
  </si>
  <si>
    <t>Wooden pallets</t>
  </si>
  <si>
    <t>Foodbank collaboration</t>
  </si>
  <si>
    <t>Customer feedback</t>
  </si>
  <si>
    <t>Individual contacts</t>
  </si>
  <si>
    <t>+8,500</t>
  </si>
  <si>
    <t>+7,200</t>
  </si>
  <si>
    <t>+6,600</t>
  </si>
  <si>
    <t>Number of companies represented</t>
  </si>
  <si>
    <t>+3,500</t>
  </si>
  <si>
    <t>+3,300</t>
  </si>
  <si>
    <t>+3,700</t>
  </si>
  <si>
    <t>[15] Not reported prior to FY15. Calculated environmental benefits stated in this diagram are based on estimates from:
• our independent life cycle analyses (LCA), applied to volumes of the products and regions covered by these LCAs only; and
• internal data collection (for multimodal/collaborative transport programs and carbon neutral products).
These represent a conservative estimate of the global environmental benefits of our pooled products for the Year. Further information is provided in our
supplementary information document, available on our website.</t>
  </si>
  <si>
    <t>Brambles community investment (US$)</t>
  </si>
  <si>
    <r>
      <t xml:space="preserve">% of pre-tax profit </t>
    </r>
    <r>
      <rPr>
        <b/>
        <vertAlign val="superscript"/>
        <sz val="10"/>
        <color theme="1"/>
        <rFont val="Trebuchet MS"/>
      </rPr>
      <t>1</t>
    </r>
  </si>
  <si>
    <t>Corporate donations and sponsorship</t>
  </si>
  <si>
    <t xml:space="preserve">In kind donations </t>
  </si>
  <si>
    <t>Volunteering</t>
  </si>
  <si>
    <t>Volunteering hours</t>
  </si>
  <si>
    <t>Total hours</t>
  </si>
  <si>
    <r>
      <t xml:space="preserve">1 </t>
    </r>
    <r>
      <rPr>
        <sz val="12"/>
        <color theme="1"/>
        <rFont val="Calibri"/>
        <family val="2"/>
        <scheme val="minor"/>
      </rPr>
      <t>Profit before tax (continuing operations) as reported in the Annual Report</t>
    </r>
  </si>
  <si>
    <t>Better Communities</t>
  </si>
  <si>
    <t xml:space="preserve">Sharing and reusing model performance </t>
  </si>
  <si>
    <t>+9,300</t>
  </si>
  <si>
    <t>81.0/19.0</t>
  </si>
  <si>
    <t>70.2/29.8</t>
  </si>
  <si>
    <t>RPCs - transport [22]</t>
  </si>
  <si>
    <t>[22] RPC transport wasn't measured in FY15.  For FY16 reported we copied the FY16 figures to benchmark against in lieu of having a measurement.  I've copied the TJ and Tonnes CO2e from FY16 above.</t>
  </si>
  <si>
    <t>1,207.95 [18]</t>
  </si>
  <si>
    <t>[19] Please note: carbon offsets are purchased for a calendar year, while Brambles' sustainability reporting is done on a financial year basis. Therefore, the offsets purchased for calendar year 2015 are reported in FY16; for calendar year 2014 reported in FY15.</t>
  </si>
  <si>
    <t>Total number of employee hires</t>
  </si>
  <si>
    <t>Employee hires by gender (%)</t>
  </si>
  <si>
    <t>Employee hires by age group (%)</t>
  </si>
  <si>
    <t>FY16 [21]</t>
  </si>
  <si>
    <t>[21] Data collected for the first time in FY16, with all regions reporting via the HR system Workday.</t>
  </si>
  <si>
    <t>[20] For FY15, voluntary turnover by gender is only provided for those countries on our HR system Workday and does not represent the entire Group.</t>
  </si>
  <si>
    <t>[18] In FY15, breakdown of ETD by gender and mgt/non-mgt is not provided as not all regions reported through the HR system Workday for the full financial year.</t>
  </si>
  <si>
    <t>[17] In FY13, Brambles determined that approximately 80% of employees were entitled to parental leave. In FY17, we will update the percentage of employees entitled to parental leave.</t>
  </si>
  <si>
    <t>[10] For FY14, the education, training and development days data was not broken down as the business began transitioning to the HR system (Workday) during the Year.</t>
  </si>
  <si>
    <t>[2] IFCO was acquired in FY11 and integrated into the new organisation structure in FY12.</t>
  </si>
  <si>
    <t>Number of employees</t>
  </si>
  <si>
    <t>FY17</t>
  </si>
  <si>
    <t>Updated: September 2017</t>
  </si>
  <si>
    <t>79.7 / 20.3</t>
  </si>
  <si>
    <t>89 / 11</t>
  </si>
  <si>
    <t>72.8 /27.2</t>
  </si>
  <si>
    <t>82.2 / 17.8</t>
  </si>
  <si>
    <t>72.3 / 27.7</t>
  </si>
  <si>
    <t>56.5 / 43.5</t>
  </si>
  <si>
    <t>73.9 / 26.1</t>
  </si>
  <si>
    <t>80.2 / 19.8</t>
  </si>
  <si>
    <t>76.4 / 23.6</t>
  </si>
  <si>
    <t>71.1 / 28.9</t>
  </si>
  <si>
    <t>72.5 / 27.5</t>
  </si>
  <si>
    <t>68.4 / 31.6</t>
  </si>
  <si>
    <t>0.86 : 1</t>
  </si>
  <si>
    <t>0.83: 1</t>
  </si>
  <si>
    <t>1.13: 1</t>
  </si>
  <si>
    <t>24,297.56 days</t>
  </si>
  <si>
    <t>6.6 events per million hours worked</t>
  </si>
  <si>
    <t>Global insights relationship survey</t>
  </si>
  <si>
    <t>+9,800</t>
  </si>
  <si>
    <t>+5,100</t>
  </si>
  <si>
    <t>Corporate [1]</t>
  </si>
  <si>
    <t>[1] Includes Containers Aerospace, Oil &amp; Gas and LeanLogistics</t>
  </si>
  <si>
    <t>[23] Restated using production figure collection method applied in FY17.</t>
  </si>
  <si>
    <t xml:space="preserve">FY16 </t>
  </si>
  <si>
    <t>0.21 [23]</t>
  </si>
  <si>
    <t xml:space="preserve">Scope based on emissions, so therefor 5% added </t>
  </si>
  <si>
    <t>CO2-e offset (tonnes) - carbon neutral products [19]</t>
  </si>
  <si>
    <t>Transport collaboration/multimodal programs</t>
  </si>
  <si>
    <t>[22] 2016 LCA savings were re-calculated and restated using the 2017 report. The restatement was performed as the 2017 data was considered to be more accurate estimation of the 2016 performance and the restatement allows a more appropriate comparisons between the measurement periods. See the 2017 supplementary information document, p 5 for more details.</t>
  </si>
  <si>
    <t>FY16 [22]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</si>
</sst>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  <numFmt numFmtId="169" formatCode="&quot;$&quot;#,##0"/>
    <numFmt numFmtId="170" formatCode="#,##0.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u/>
      <sz val="12"/>
      <color indexed="12"/>
      <name val="Calibri"/>
      <family val="2"/>
    </font>
    <font>
      <sz val="8"/>
      <color indexed="8"/>
      <name val="Arial"/>
      <family val="2"/>
    </font>
    <font>
      <b/>
      <sz val="18"/>
      <color indexed="8"/>
      <name val="Trebuchet MS"/>
      <family val="2"/>
    </font>
    <font>
      <sz val="10"/>
      <color indexed="8"/>
      <name val="Trebuchet MS"/>
      <family val="2"/>
    </font>
    <font>
      <b/>
      <sz val="16"/>
      <color indexed="8"/>
      <name val="Trebuchet MS"/>
      <family val="2"/>
    </font>
    <font>
      <b/>
      <vertAlign val="superscript"/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0"/>
      <color indexed="9"/>
      <name val="Trebuchet MS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4"/>
      <color indexed="8"/>
      <name val="Trebuchet MS"/>
      <family val="2"/>
    </font>
    <font>
      <sz val="9"/>
      <color indexed="8"/>
      <name val="Trebuchet MS"/>
      <family val="2"/>
    </font>
    <font>
      <sz val="8"/>
      <color indexed="55"/>
      <name val="Trebuchet MS"/>
      <family val="2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</font>
    <font>
      <b/>
      <sz val="10"/>
      <name val="Trebuchet MS"/>
    </font>
    <font>
      <sz val="8"/>
      <color theme="1"/>
      <name val="Arial"/>
    </font>
    <font>
      <b/>
      <sz val="14"/>
      <color theme="1"/>
      <name val="Trebuchet MS"/>
    </font>
    <font>
      <sz val="10"/>
      <color theme="1"/>
      <name val="Trebuchet MS"/>
    </font>
    <font>
      <b/>
      <sz val="10"/>
      <color theme="1"/>
      <name val="Trebuchet MS"/>
    </font>
    <font>
      <sz val="15"/>
      <color rgb="FF1D1D1D"/>
      <name val="Calibri"/>
    </font>
    <font>
      <sz val="10"/>
      <color theme="1"/>
      <name val="Cambria"/>
    </font>
    <font>
      <b/>
      <sz val="18"/>
      <color theme="1"/>
      <name val="Trebuchet MS"/>
    </font>
    <font>
      <b/>
      <sz val="12"/>
      <color theme="1"/>
      <name val="Trebuchet MS"/>
    </font>
    <font>
      <b/>
      <vertAlign val="superscript"/>
      <sz val="10"/>
      <color theme="1"/>
      <name val="Trebuchet MS"/>
    </font>
    <font>
      <vertAlign val="superscript"/>
      <sz val="12"/>
      <color theme="1"/>
      <name val="Calibri"/>
      <scheme val="minor"/>
    </font>
    <font>
      <sz val="8"/>
      <name val="Calibri"/>
      <family val="2"/>
      <scheme val="minor"/>
    </font>
    <font>
      <sz val="10"/>
      <color theme="1"/>
      <name val="Trebuchet MS"/>
      <family val="2"/>
    </font>
    <font>
      <i/>
      <sz val="9"/>
      <color indexed="8"/>
      <name val="Trebuchet MS"/>
      <family val="2"/>
    </font>
    <font>
      <i/>
      <sz val="9"/>
      <color theme="1"/>
      <name val="Calibri"/>
      <family val="2"/>
      <scheme val="minor"/>
    </font>
    <font>
      <i/>
      <sz val="9"/>
      <color theme="4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1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18"/>
      </left>
      <right style="medium">
        <color indexed="18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18"/>
      </right>
      <top style="medium">
        <color auto="1"/>
      </top>
      <bottom/>
      <diagonal/>
    </border>
    <border>
      <left/>
      <right style="medium">
        <color indexed="1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18"/>
      </right>
      <top/>
      <bottom/>
      <diagonal/>
    </border>
    <border>
      <left style="medium">
        <color auto="1"/>
      </left>
      <right style="medium">
        <color indexed="18"/>
      </right>
      <top/>
      <bottom style="medium">
        <color auto="1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77">
    <xf numFmtId="0" fontId="0" fillId="0" borderId="0" xfId="0"/>
    <xf numFmtId="0" fontId="5" fillId="0" borderId="0" xfId="3" applyFont="1" applyAlignment="1">
      <alignment vertical="center"/>
    </xf>
    <xf numFmtId="0" fontId="2" fillId="0" borderId="0" xfId="3"/>
    <xf numFmtId="0" fontId="6" fillId="0" borderId="0" xfId="3" applyFont="1" applyAlignment="1">
      <alignment vertical="center"/>
    </xf>
    <xf numFmtId="0" fontId="4" fillId="0" borderId="0" xfId="2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1" fillId="2" borderId="2" xfId="3" applyFont="1" applyFill="1" applyBorder="1" applyAlignment="1">
      <alignment horizontal="right" vertical="center" wrapText="1"/>
    </xf>
    <xf numFmtId="0" fontId="7" fillId="0" borderId="3" xfId="3" applyFont="1" applyBorder="1" applyAlignment="1">
      <alignment vertical="center" wrapText="1"/>
    </xf>
    <xf numFmtId="3" fontId="10" fillId="0" borderId="4" xfId="3" applyNumberFormat="1" applyFont="1" applyBorder="1" applyAlignment="1">
      <alignment horizontal="right" vertical="center" wrapText="1"/>
    </xf>
    <xf numFmtId="3" fontId="10" fillId="0" borderId="5" xfId="3" applyNumberFormat="1" applyFont="1" applyBorder="1" applyAlignment="1">
      <alignment horizontal="right" vertical="center" wrapText="1"/>
    </xf>
    <xf numFmtId="0" fontId="11" fillId="2" borderId="2" xfId="3" applyFont="1" applyFill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center" wrapText="1"/>
    </xf>
    <xf numFmtId="3" fontId="7" fillId="0" borderId="4" xfId="3" applyNumberFormat="1" applyFont="1" applyBorder="1" applyAlignment="1">
      <alignment horizontal="right" vertical="center" wrapText="1"/>
    </xf>
    <xf numFmtId="0" fontId="7" fillId="0" borderId="4" xfId="3" applyFont="1" applyBorder="1" applyAlignment="1">
      <alignment horizontal="right" vertical="center" wrapText="1"/>
    </xf>
    <xf numFmtId="0" fontId="11" fillId="2" borderId="4" xfId="3" applyFont="1" applyFill="1" applyBorder="1" applyAlignment="1">
      <alignment vertical="center" wrapText="1"/>
    </xf>
    <xf numFmtId="0" fontId="3" fillId="0" borderId="0" xfId="3" applyFont="1"/>
    <xf numFmtId="0" fontId="10" fillId="0" borderId="3" xfId="3" applyFont="1" applyBorder="1" applyAlignment="1">
      <alignment vertical="center" wrapText="1"/>
    </xf>
    <xf numFmtId="0" fontId="7" fillId="0" borderId="5" xfId="3" applyFont="1" applyBorder="1" applyAlignment="1">
      <alignment horizontal="right" vertical="center" wrapText="1"/>
    </xf>
    <xf numFmtId="0" fontId="13" fillId="0" borderId="0" xfId="3" applyFont="1" applyAlignment="1">
      <alignment vertical="center" wrapText="1"/>
    </xf>
    <xf numFmtId="9" fontId="7" fillId="0" borderId="4" xfId="3" applyNumberFormat="1" applyFont="1" applyBorder="1" applyAlignment="1">
      <alignment vertical="center" wrapText="1"/>
    </xf>
    <xf numFmtId="9" fontId="10" fillId="0" borderId="4" xfId="3" applyNumberFormat="1" applyFont="1" applyBorder="1" applyAlignment="1">
      <alignment horizontal="right" vertical="center" wrapText="1"/>
    </xf>
    <xf numFmtId="0" fontId="7" fillId="0" borderId="8" xfId="3" applyFont="1" applyBorder="1" applyAlignment="1">
      <alignment vertical="center" wrapText="1"/>
    </xf>
    <xf numFmtId="9" fontId="7" fillId="0" borderId="5" xfId="3" applyNumberFormat="1" applyFont="1" applyBorder="1" applyAlignment="1">
      <alignment vertical="center" wrapText="1"/>
    </xf>
    <xf numFmtId="9" fontId="10" fillId="0" borderId="5" xfId="3" applyNumberFormat="1" applyFont="1" applyBorder="1" applyAlignment="1">
      <alignment horizontal="right" vertical="center" wrapText="1"/>
    </xf>
    <xf numFmtId="0" fontId="10" fillId="0" borderId="8" xfId="3" applyFont="1" applyBorder="1" applyAlignment="1">
      <alignment vertical="center" wrapText="1"/>
    </xf>
    <xf numFmtId="0" fontId="14" fillId="0" borderId="0" xfId="3" applyFont="1" applyAlignment="1">
      <alignment vertical="center"/>
    </xf>
    <xf numFmtId="3" fontId="10" fillId="0" borderId="4" xfId="3" applyNumberFormat="1" applyFont="1" applyBorder="1" applyAlignment="1">
      <alignment vertical="center" wrapText="1"/>
    </xf>
    <xf numFmtId="3" fontId="7" fillId="0" borderId="4" xfId="3" applyNumberFormat="1" applyFont="1" applyBorder="1" applyAlignment="1">
      <alignment vertical="center" wrapText="1"/>
    </xf>
    <xf numFmtId="4" fontId="10" fillId="0" borderId="4" xfId="3" applyNumberFormat="1" applyFont="1" applyBorder="1" applyAlignment="1">
      <alignment vertical="center" wrapText="1"/>
    </xf>
    <xf numFmtId="0" fontId="10" fillId="0" borderId="4" xfId="3" applyFont="1" applyBorder="1" applyAlignment="1">
      <alignment horizontal="right" vertical="center" wrapText="1"/>
    </xf>
    <xf numFmtId="4" fontId="7" fillId="0" borderId="4" xfId="3" applyNumberFormat="1" applyFont="1" applyBorder="1" applyAlignment="1">
      <alignment vertical="center" wrapText="1"/>
    </xf>
    <xf numFmtId="4" fontId="7" fillId="0" borderId="5" xfId="3" applyNumberFormat="1" applyFont="1" applyBorder="1" applyAlignment="1">
      <alignment vertical="center" wrapText="1"/>
    </xf>
    <xf numFmtId="0" fontId="7" fillId="0" borderId="5" xfId="3" applyFont="1" applyBorder="1" applyAlignment="1">
      <alignment vertical="center" wrapText="1"/>
    </xf>
    <xf numFmtId="4" fontId="7" fillId="0" borderId="4" xfId="3" applyNumberFormat="1" applyFont="1" applyBorder="1" applyAlignment="1">
      <alignment horizontal="right" vertical="center" wrapText="1"/>
    </xf>
    <xf numFmtId="0" fontId="10" fillId="0" borderId="5" xfId="3" applyFont="1" applyBorder="1" applyAlignment="1">
      <alignment horizontal="right" vertical="center" wrapText="1"/>
    </xf>
    <xf numFmtId="4" fontId="10" fillId="0" borderId="5" xfId="3" applyNumberFormat="1" applyFont="1" applyBorder="1" applyAlignment="1">
      <alignment horizontal="right" vertical="center" wrapText="1"/>
    </xf>
    <xf numFmtId="0" fontId="10" fillId="0" borderId="4" xfId="3" applyFont="1" applyFill="1" applyBorder="1" applyAlignment="1">
      <alignment horizontal="right" vertical="center" wrapText="1"/>
    </xf>
    <xf numFmtId="43" fontId="10" fillId="0" borderId="4" xfId="1" applyFont="1" applyBorder="1" applyAlignment="1">
      <alignment horizontal="right" vertical="center" wrapText="1"/>
    </xf>
    <xf numFmtId="4" fontId="10" fillId="0" borderId="4" xfId="3" applyNumberFormat="1" applyFont="1" applyBorder="1" applyAlignment="1">
      <alignment horizontal="right" vertical="center" wrapText="1"/>
    </xf>
    <xf numFmtId="43" fontId="7" fillId="0" borderId="4" xfId="1" applyFont="1" applyBorder="1" applyAlignment="1">
      <alignment horizontal="right" vertical="center" wrapText="1"/>
    </xf>
    <xf numFmtId="43" fontId="7" fillId="0" borderId="5" xfId="1" applyFont="1" applyBorder="1" applyAlignment="1">
      <alignment horizontal="right" vertical="center" wrapText="1"/>
    </xf>
    <xf numFmtId="0" fontId="11" fillId="2" borderId="7" xfId="3" applyFont="1" applyFill="1" applyBorder="1" applyAlignment="1">
      <alignment vertical="center" wrapText="1"/>
    </xf>
    <xf numFmtId="43" fontId="10" fillId="0" borderId="4" xfId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" fontId="10" fillId="0" borderId="4" xfId="3" applyNumberFormat="1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right" vertical="center" wrapText="1"/>
    </xf>
    <xf numFmtId="0" fontId="11" fillId="2" borderId="2" xfId="3" applyFont="1" applyFill="1" applyBorder="1" applyAlignment="1">
      <alignment horizontal="left" vertical="center" wrapText="1"/>
    </xf>
    <xf numFmtId="0" fontId="12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7" fillId="0" borderId="11" xfId="3" applyFont="1" applyBorder="1" applyAlignment="1">
      <alignment vertical="center" wrapText="1"/>
    </xf>
    <xf numFmtId="0" fontId="7" fillId="0" borderId="11" xfId="3" applyFont="1" applyBorder="1" applyAlignment="1">
      <alignment horizontal="right" vertical="center" wrapText="1"/>
    </xf>
    <xf numFmtId="3" fontId="7" fillId="0" borderId="11" xfId="3" applyNumberFormat="1" applyFont="1" applyBorder="1" applyAlignment="1">
      <alignment horizontal="right" vertical="center" wrapText="1"/>
    </xf>
    <xf numFmtId="0" fontId="11" fillId="2" borderId="12" xfId="3" applyFont="1" applyFill="1" applyBorder="1" applyAlignment="1">
      <alignment horizontal="right" vertical="center" wrapText="1"/>
    </xf>
    <xf numFmtId="3" fontId="10" fillId="0" borderId="14" xfId="3" applyNumberFormat="1" applyFont="1" applyBorder="1" applyAlignment="1">
      <alignment horizontal="right" vertical="center" wrapText="1"/>
    </xf>
    <xf numFmtId="0" fontId="2" fillId="0" borderId="0" xfId="3" applyFill="1"/>
    <xf numFmtId="0" fontId="7" fillId="0" borderId="0" xfId="3" applyFont="1" applyFill="1" applyBorder="1" applyAlignment="1">
      <alignment vertical="center" wrapText="1"/>
    </xf>
    <xf numFmtId="3" fontId="10" fillId="0" borderId="5" xfId="3" applyNumberFormat="1" applyFont="1" applyBorder="1" applyAlignment="1">
      <alignment vertical="center" wrapText="1"/>
    </xf>
    <xf numFmtId="10" fontId="2" fillId="0" borderId="0" xfId="3" applyNumberFormat="1"/>
    <xf numFmtId="4" fontId="10" fillId="0" borderId="5" xfId="3" applyNumberFormat="1" applyFont="1" applyBorder="1" applyAlignment="1">
      <alignment vertical="center" wrapText="1"/>
    </xf>
    <xf numFmtId="0" fontId="11" fillId="2" borderId="4" xfId="3" applyFont="1" applyFill="1" applyBorder="1" applyAlignment="1">
      <alignment horizontal="right" vertical="center" wrapText="1"/>
    </xf>
    <xf numFmtId="3" fontId="7" fillId="0" borderId="4" xfId="3" applyNumberFormat="1" applyFont="1" applyFill="1" applyBorder="1" applyAlignment="1">
      <alignment horizontal="right" vertical="center" wrapText="1"/>
    </xf>
    <xf numFmtId="3" fontId="7" fillId="0" borderId="0" xfId="3" applyNumberFormat="1" applyFont="1" applyAlignment="1">
      <alignment vertical="center"/>
    </xf>
    <xf numFmtId="0" fontId="2" fillId="0" borderId="0" xfId="3" applyAlignment="1">
      <alignment wrapText="1"/>
    </xf>
    <xf numFmtId="9" fontId="7" fillId="0" borderId="4" xfId="3" applyNumberFormat="1" applyFont="1" applyBorder="1" applyAlignment="1">
      <alignment horizontal="right" vertical="center" wrapText="1"/>
    </xf>
    <xf numFmtId="3" fontId="10" fillId="0" borderId="0" xfId="3" applyNumberFormat="1" applyFont="1" applyBorder="1" applyAlignment="1">
      <alignment horizontal="left" vertical="center" wrapText="1"/>
    </xf>
    <xf numFmtId="9" fontId="10" fillId="0" borderId="0" xfId="3" applyNumberFormat="1" applyFont="1" applyBorder="1" applyAlignment="1">
      <alignment horizontal="right" vertical="center" wrapText="1"/>
    </xf>
    <xf numFmtId="0" fontId="11" fillId="0" borderId="0" xfId="3" applyFont="1" applyFill="1" applyBorder="1" applyAlignment="1">
      <alignment horizontal="right" vertical="center" wrapText="1"/>
    </xf>
    <xf numFmtId="0" fontId="2" fillId="0" borderId="0" xfId="3" applyFill="1" applyBorder="1"/>
    <xf numFmtId="0" fontId="2" fillId="0" borderId="0" xfId="3" applyBorder="1"/>
    <xf numFmtId="9" fontId="7" fillId="0" borderId="5" xfId="3" applyNumberFormat="1" applyFont="1" applyBorder="1" applyAlignment="1">
      <alignment horizontal="left" vertical="center" wrapText="1"/>
    </xf>
    <xf numFmtId="9" fontId="7" fillId="0" borderId="5" xfId="3" applyNumberFormat="1" applyFont="1" applyBorder="1" applyAlignment="1">
      <alignment horizontal="right" vertical="center" wrapText="1"/>
    </xf>
    <xf numFmtId="3" fontId="7" fillId="0" borderId="4" xfId="3" applyNumberFormat="1" applyFont="1" applyFill="1" applyBorder="1" applyAlignment="1">
      <alignment vertical="center" wrapText="1"/>
    </xf>
    <xf numFmtId="164" fontId="7" fillId="0" borderId="4" xfId="3" applyNumberFormat="1" applyFont="1" applyBorder="1" applyAlignment="1">
      <alignment vertical="center" wrapText="1"/>
    </xf>
    <xf numFmtId="164" fontId="7" fillId="0" borderId="5" xfId="3" applyNumberFormat="1" applyFont="1" applyBorder="1" applyAlignment="1">
      <alignment vertical="center" wrapText="1"/>
    </xf>
    <xf numFmtId="2" fontId="10" fillId="0" borderId="4" xfId="3" applyNumberFormat="1" applyFont="1" applyBorder="1" applyAlignment="1">
      <alignment vertical="center" wrapText="1"/>
    </xf>
    <xf numFmtId="2" fontId="7" fillId="0" borderId="4" xfId="3" applyNumberFormat="1" applyFont="1" applyBorder="1" applyAlignment="1">
      <alignment vertical="center" wrapText="1"/>
    </xf>
    <xf numFmtId="2" fontId="7" fillId="0" borderId="5" xfId="3" applyNumberFormat="1" applyFont="1" applyBorder="1" applyAlignment="1">
      <alignment vertical="center" wrapText="1"/>
    </xf>
    <xf numFmtId="164" fontId="10" fillId="0" borderId="4" xfId="3" applyNumberFormat="1" applyFont="1" applyBorder="1" applyAlignment="1">
      <alignment vertical="center" wrapText="1"/>
    </xf>
    <xf numFmtId="9" fontId="0" fillId="0" borderId="0" xfId="8" applyFont="1"/>
    <xf numFmtId="9" fontId="7" fillId="0" borderId="4" xfId="8" applyFont="1" applyBorder="1" applyAlignment="1">
      <alignment vertical="center" wrapText="1"/>
    </xf>
    <xf numFmtId="9" fontId="7" fillId="0" borderId="5" xfId="8" applyFont="1" applyBorder="1" applyAlignment="1">
      <alignment vertical="center" wrapText="1"/>
    </xf>
    <xf numFmtId="9" fontId="7" fillId="0" borderId="4" xfId="3" applyNumberFormat="1" applyFont="1" applyFill="1" applyBorder="1" applyAlignment="1">
      <alignment vertical="center" wrapText="1"/>
    </xf>
    <xf numFmtId="9" fontId="7" fillId="0" borderId="5" xfId="8" applyFont="1" applyFill="1" applyBorder="1" applyAlignment="1">
      <alignment vertical="center" wrapText="1"/>
    </xf>
    <xf numFmtId="166" fontId="18" fillId="0" borderId="0" xfId="0" applyNumberFormat="1" applyFont="1"/>
    <xf numFmtId="0" fontId="11" fillId="2" borderId="1" xfId="3" applyFont="1" applyFill="1" applyBorder="1" applyAlignment="1">
      <alignment vertical="center" wrapText="1"/>
    </xf>
    <xf numFmtId="9" fontId="7" fillId="0" borderId="0" xfId="3" applyNumberFormat="1" applyFont="1" applyAlignment="1">
      <alignment vertical="center"/>
    </xf>
    <xf numFmtId="9" fontId="7" fillId="0" borderId="5" xfId="3" applyNumberFormat="1" applyFont="1" applyFill="1" applyBorder="1" applyAlignment="1">
      <alignment vertical="center" wrapText="1"/>
    </xf>
    <xf numFmtId="4" fontId="7" fillId="0" borderId="4" xfId="3" applyNumberFormat="1" applyFont="1" applyFill="1" applyBorder="1" applyAlignment="1">
      <alignment vertical="center" wrapText="1"/>
    </xf>
    <xf numFmtId="4" fontId="10" fillId="0" borderId="5" xfId="3" applyNumberFormat="1" applyFont="1" applyFill="1" applyBorder="1" applyAlignment="1">
      <alignment vertical="center" wrapText="1"/>
    </xf>
    <xf numFmtId="4" fontId="7" fillId="0" borderId="0" xfId="3" applyNumberFormat="1" applyFont="1" applyAlignment="1">
      <alignment vertical="center"/>
    </xf>
    <xf numFmtId="4" fontId="2" fillId="0" borderId="0" xfId="3" applyNumberFormat="1"/>
    <xf numFmtId="0" fontId="0" fillId="0" borderId="0" xfId="0" applyFill="1"/>
    <xf numFmtId="0" fontId="20" fillId="0" borderId="10" xfId="2" applyFont="1" applyFill="1" applyBorder="1" applyAlignment="1">
      <alignment vertical="center" wrapText="1"/>
    </xf>
    <xf numFmtId="0" fontId="7" fillId="0" borderId="4" xfId="3" applyFont="1" applyFill="1" applyBorder="1" applyAlignment="1">
      <alignment vertical="center" wrapText="1"/>
    </xf>
    <xf numFmtId="2" fontId="7" fillId="0" borderId="5" xfId="3" applyNumberFormat="1" applyFont="1" applyBorder="1" applyAlignment="1">
      <alignment horizontal="right" vertical="center" wrapText="1"/>
    </xf>
    <xf numFmtId="3" fontId="7" fillId="0" borderId="5" xfId="3" applyNumberFormat="1" applyFont="1" applyBorder="1" applyAlignment="1">
      <alignment horizontal="right" vertical="center" wrapText="1"/>
    </xf>
    <xf numFmtId="3" fontId="7" fillId="0" borderId="5" xfId="3" applyNumberFormat="1" applyFont="1" applyFill="1" applyBorder="1" applyAlignment="1">
      <alignment horizontal="right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10" fillId="0" borderId="15" xfId="3" applyFont="1" applyBorder="1" applyAlignment="1">
      <alignment vertical="center" wrapText="1"/>
    </xf>
    <xf numFmtId="43" fontId="15" fillId="0" borderId="11" xfId="1" applyFont="1" applyFill="1" applyBorder="1" applyAlignment="1">
      <alignment horizontal="right" vertical="center" wrapText="1"/>
    </xf>
    <xf numFmtId="43" fontId="7" fillId="0" borderId="11" xfId="1" applyFont="1" applyFill="1" applyBorder="1" applyAlignment="1">
      <alignment horizontal="right" vertical="center" wrapText="1"/>
    </xf>
    <xf numFmtId="43" fontId="7" fillId="0" borderId="11" xfId="1" applyFont="1" applyBorder="1" applyAlignment="1">
      <alignment horizontal="right" vertical="center" wrapText="1"/>
    </xf>
    <xf numFmtId="0" fontId="15" fillId="0" borderId="11" xfId="3" applyFont="1" applyBorder="1" applyAlignment="1">
      <alignment horizontal="right" vertical="center" wrapText="1"/>
    </xf>
    <xf numFmtId="0" fontId="11" fillId="2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 wrapText="1"/>
    </xf>
    <xf numFmtId="0" fontId="3" fillId="0" borderId="0" xfId="3" applyFont="1" applyBorder="1"/>
    <xf numFmtId="0" fontId="21" fillId="0" borderId="12" xfId="3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7" fillId="0" borderId="0" xfId="3" applyFont="1" applyBorder="1" applyAlignment="1">
      <alignment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0" xfId="3" applyFont="1" applyFill="1" applyBorder="1" applyAlignment="1">
      <alignment horizontal="right" vertical="center" wrapText="1"/>
    </xf>
    <xf numFmtId="0" fontId="0" fillId="0" borderId="0" xfId="0" applyFill="1" applyBorder="1"/>
    <xf numFmtId="0" fontId="10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 wrapText="1"/>
    </xf>
    <xf numFmtId="0" fontId="10" fillId="0" borderId="0" xfId="3" applyFont="1" applyFill="1" applyBorder="1" applyAlignment="1">
      <alignment vertical="center" wrapText="1"/>
    </xf>
    <xf numFmtId="0" fontId="20" fillId="0" borderId="10" xfId="2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4" xfId="1" applyNumberFormat="1" applyFont="1" applyBorder="1" applyAlignment="1">
      <alignment horizontal="right" vertical="center" wrapText="1"/>
    </xf>
    <xf numFmtId="0" fontId="11" fillId="2" borderId="6" xfId="3" applyFont="1" applyFill="1" applyBorder="1" applyAlignment="1">
      <alignment vertical="center" wrapText="1"/>
    </xf>
    <xf numFmtId="3" fontId="7" fillId="0" borderId="13" xfId="3" applyNumberFormat="1" applyFont="1" applyBorder="1" applyAlignment="1">
      <alignment horizontal="right" vertical="center" wrapText="1"/>
    </xf>
    <xf numFmtId="3" fontId="10" fillId="0" borderId="0" xfId="3" applyNumberFormat="1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horizontal="right" vertical="center" wrapText="1"/>
    </xf>
    <xf numFmtId="3" fontId="2" fillId="0" borderId="0" xfId="3" applyNumberFormat="1"/>
    <xf numFmtId="3" fontId="10" fillId="3" borderId="4" xfId="3" applyNumberFormat="1" applyFont="1" applyFill="1" applyBorder="1" applyAlignment="1">
      <alignment horizontal="right" vertical="center" wrapText="1"/>
    </xf>
    <xf numFmtId="3" fontId="7" fillId="3" borderId="4" xfId="3" applyNumberFormat="1" applyFont="1" applyFill="1" applyBorder="1" applyAlignment="1">
      <alignment horizontal="right" vertical="center" wrapText="1"/>
    </xf>
    <xf numFmtId="3" fontId="7" fillId="3" borderId="4" xfId="3" applyNumberFormat="1" applyFont="1" applyFill="1" applyBorder="1" applyAlignment="1">
      <alignment vertical="center" wrapText="1"/>
    </xf>
    <xf numFmtId="165" fontId="7" fillId="3" borderId="4" xfId="1" applyNumberFormat="1" applyFont="1" applyFill="1" applyBorder="1" applyAlignment="1">
      <alignment horizontal="right" vertical="center" wrapText="1"/>
    </xf>
    <xf numFmtId="3" fontId="10" fillId="3" borderId="4" xfId="3" applyNumberFormat="1" applyFont="1" applyFill="1" applyBorder="1" applyAlignment="1">
      <alignment vertical="center" wrapText="1"/>
    </xf>
    <xf numFmtId="165" fontId="10" fillId="3" borderId="4" xfId="1" applyNumberFormat="1" applyFont="1" applyFill="1" applyBorder="1" applyAlignment="1">
      <alignment horizontal="right" vertical="center" wrapText="1"/>
    </xf>
    <xf numFmtId="165" fontId="10" fillId="0" borderId="15" xfId="1" applyNumberFormat="1" applyFont="1" applyBorder="1" applyAlignment="1">
      <alignment horizontal="right" vertical="center" wrapText="1"/>
    </xf>
    <xf numFmtId="3" fontId="10" fillId="0" borderId="4" xfId="3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0" fontId="0" fillId="0" borderId="0" xfId="0" applyNumberFormat="1"/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/>
    <xf numFmtId="0" fontId="24" fillId="0" borderId="0" xfId="0" applyFont="1" applyAlignment="1">
      <alignment horizontal="left" vertical="center" indent="3"/>
    </xf>
    <xf numFmtId="0" fontId="27" fillId="0" borderId="0" xfId="0" applyFont="1" applyAlignment="1">
      <alignment vertical="center"/>
    </xf>
    <xf numFmtId="0" fontId="0" fillId="0" borderId="0" xfId="0" applyAlignment="1"/>
    <xf numFmtId="0" fontId="28" fillId="0" borderId="0" xfId="0" applyFont="1" applyAlignment="1">
      <alignment vertical="center"/>
    </xf>
    <xf numFmtId="3" fontId="24" fillId="0" borderId="16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vertical="center" wrapText="1"/>
    </xf>
    <xf numFmtId="0" fontId="4" fillId="0" borderId="0" xfId="2" applyBorder="1" applyAlignment="1">
      <alignment vertical="center" wrapText="1"/>
    </xf>
    <xf numFmtId="0" fontId="29" fillId="0" borderId="0" xfId="0" applyFont="1" applyAlignment="1">
      <alignment vertical="center"/>
    </xf>
    <xf numFmtId="49" fontId="31" fillId="0" borderId="0" xfId="0" applyNumberFormat="1" applyFont="1"/>
    <xf numFmtId="3" fontId="0" fillId="0" borderId="0" xfId="0" applyNumberFormat="1"/>
    <xf numFmtId="0" fontId="10" fillId="0" borderId="18" xfId="3" applyFont="1" applyBorder="1" applyAlignment="1">
      <alignment vertical="center" wrapText="1"/>
    </xf>
    <xf numFmtId="0" fontId="10" fillId="0" borderId="19" xfId="3" applyFont="1" applyBorder="1" applyAlignment="1">
      <alignment vertical="center" wrapText="1"/>
    </xf>
    <xf numFmtId="43" fontId="10" fillId="0" borderId="19" xfId="1" applyFont="1" applyFill="1" applyBorder="1" applyAlignment="1">
      <alignment horizontal="right" vertical="center" wrapText="1"/>
    </xf>
    <xf numFmtId="43" fontId="10" fillId="0" borderId="20" xfId="1" applyFont="1" applyFill="1" applyBorder="1" applyAlignment="1">
      <alignment horizontal="right" vertical="center" wrapText="1"/>
    </xf>
    <xf numFmtId="0" fontId="10" fillId="0" borderId="21" xfId="3" applyFont="1" applyBorder="1" applyAlignment="1">
      <alignment vertical="center" wrapText="1"/>
    </xf>
    <xf numFmtId="43" fontId="7" fillId="0" borderId="17" xfId="1" applyFont="1" applyFill="1" applyBorder="1" applyAlignment="1">
      <alignment horizontal="right" vertical="center" wrapText="1"/>
    </xf>
    <xf numFmtId="43" fontId="7" fillId="0" borderId="17" xfId="1" applyFont="1" applyBorder="1" applyAlignment="1">
      <alignment horizontal="right" vertical="center" wrapText="1"/>
    </xf>
    <xf numFmtId="0" fontId="10" fillId="0" borderId="22" xfId="3" applyFont="1" applyBorder="1" applyAlignment="1">
      <alignment vertical="center" wrapText="1"/>
    </xf>
    <xf numFmtId="43" fontId="7" fillId="0" borderId="16" xfId="1" applyFont="1" applyBorder="1" applyAlignment="1">
      <alignment horizontal="right" vertical="center" wrapText="1"/>
    </xf>
    <xf numFmtId="2" fontId="7" fillId="0" borderId="5" xfId="3" applyNumberFormat="1" applyFont="1" applyFill="1" applyBorder="1" applyAlignment="1">
      <alignment horizontal="right" vertical="center" wrapText="1"/>
    </xf>
    <xf numFmtId="164" fontId="7" fillId="0" borderId="5" xfId="3" applyNumberFormat="1" applyFont="1" applyFill="1" applyBorder="1" applyAlignment="1">
      <alignment horizontal="right" vertical="center" wrapText="1"/>
    </xf>
    <xf numFmtId="4" fontId="7" fillId="0" borderId="4" xfId="3" applyNumberFormat="1" applyFont="1" applyFill="1" applyBorder="1" applyAlignment="1">
      <alignment horizontal="right" vertical="center" wrapText="1"/>
    </xf>
    <xf numFmtId="9" fontId="11" fillId="2" borderId="2" xfId="8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right" vertical="center" wrapText="1"/>
    </xf>
    <xf numFmtId="10" fontId="10" fillId="0" borderId="4" xfId="3" applyNumberFormat="1" applyFont="1" applyBorder="1" applyAlignment="1">
      <alignment horizontal="right" vertical="center" wrapText="1"/>
    </xf>
    <xf numFmtId="169" fontId="10" fillId="0" borderId="4" xfId="3" applyNumberFormat="1" applyFont="1" applyBorder="1" applyAlignment="1">
      <alignment horizontal="right" vertical="center" wrapText="1"/>
    </xf>
    <xf numFmtId="169" fontId="7" fillId="0" borderId="4" xfId="3" applyNumberFormat="1" applyFont="1" applyBorder="1" applyAlignment="1">
      <alignment horizontal="right" vertical="center" wrapText="1"/>
    </xf>
    <xf numFmtId="169" fontId="7" fillId="0" borderId="5" xfId="3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vertical="center" wrapText="1"/>
    </xf>
    <xf numFmtId="170" fontId="24" fillId="0" borderId="16" xfId="0" applyNumberFormat="1" applyFont="1" applyBorder="1" applyAlignment="1">
      <alignment horizontal="right" vertical="center" wrapText="1"/>
    </xf>
    <xf numFmtId="170" fontId="7" fillId="0" borderId="4" xfId="3" applyNumberFormat="1" applyFont="1" applyBorder="1" applyAlignment="1">
      <alignment horizontal="right" vertical="center" wrapText="1"/>
    </xf>
    <xf numFmtId="170" fontId="10" fillId="0" borderId="4" xfId="3" applyNumberFormat="1" applyFont="1" applyBorder="1" applyAlignment="1">
      <alignment horizontal="right" vertical="center" wrapText="1"/>
    </xf>
    <xf numFmtId="4" fontId="24" fillId="0" borderId="16" xfId="0" applyNumberFormat="1" applyFont="1" applyBorder="1" applyAlignment="1">
      <alignment horizontal="right" vertical="center" wrapText="1"/>
    </xf>
    <xf numFmtId="10" fontId="7" fillId="0" borderId="4" xfId="3" applyNumberFormat="1" applyFont="1" applyBorder="1" applyAlignment="1">
      <alignment horizontal="right" vertical="center" wrapText="1"/>
    </xf>
    <xf numFmtId="10" fontId="24" fillId="0" borderId="16" xfId="0" applyNumberFormat="1" applyFont="1" applyBorder="1" applyAlignment="1">
      <alignment horizontal="right" vertical="center" wrapText="1"/>
    </xf>
    <xf numFmtId="2" fontId="7" fillId="0" borderId="3" xfId="3" applyNumberFormat="1" applyFont="1" applyBorder="1" applyAlignment="1">
      <alignment vertical="center" wrapText="1"/>
    </xf>
    <xf numFmtId="168" fontId="10" fillId="0" borderId="4" xfId="3" applyNumberFormat="1" applyFont="1" applyBorder="1" applyAlignment="1">
      <alignment horizontal="right" vertical="center" wrapText="1"/>
    </xf>
    <xf numFmtId="168" fontId="7" fillId="0" borderId="3" xfId="3" applyNumberFormat="1" applyFont="1" applyBorder="1" applyAlignment="1">
      <alignment horizontal="right" vertical="center" wrapText="1"/>
    </xf>
    <xf numFmtId="168" fontId="24" fillId="0" borderId="16" xfId="0" applyNumberFormat="1" applyFont="1" applyBorder="1" applyAlignment="1">
      <alignment horizontal="right" vertical="center" wrapText="1"/>
    </xf>
    <xf numFmtId="168" fontId="7" fillId="0" borderId="3" xfId="3" applyNumberFormat="1" applyFont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1" fillId="2" borderId="9" xfId="3" applyFont="1" applyFill="1" applyBorder="1" applyAlignment="1">
      <alignment horizontal="right" vertical="center" wrapText="1"/>
    </xf>
    <xf numFmtId="9" fontId="24" fillId="0" borderId="16" xfId="0" applyNumberFormat="1" applyFont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67" fontId="7" fillId="0" borderId="4" xfId="3" applyNumberFormat="1" applyFont="1" applyBorder="1" applyAlignment="1">
      <alignment horizontal="right" vertical="center" wrapText="1"/>
    </xf>
    <xf numFmtId="167" fontId="24" fillId="0" borderId="16" xfId="0" applyNumberFormat="1" applyFont="1" applyBorder="1" applyAlignment="1">
      <alignment horizontal="right" vertical="center" wrapText="1"/>
    </xf>
    <xf numFmtId="2" fontId="10" fillId="0" borderId="3" xfId="3" applyNumberFormat="1" applyFont="1" applyBorder="1" applyAlignment="1">
      <alignment vertical="center" wrapText="1"/>
    </xf>
    <xf numFmtId="2" fontId="24" fillId="0" borderId="16" xfId="0" applyNumberFormat="1" applyFont="1" applyBorder="1" applyAlignment="1">
      <alignment horizontal="right" vertical="center" wrapText="1"/>
    </xf>
    <xf numFmtId="43" fontId="2" fillId="0" borderId="0" xfId="3" applyNumberFormat="1"/>
    <xf numFmtId="0" fontId="2" fillId="0" borderId="0" xfId="3" applyFill="1" applyAlignment="1">
      <alignment vertical="center"/>
    </xf>
    <xf numFmtId="168" fontId="10" fillId="0" borderId="0" xfId="3" applyNumberFormat="1" applyFont="1" applyFill="1" applyBorder="1" applyAlignment="1">
      <alignment horizontal="right" vertical="center" wrapText="1"/>
    </xf>
    <xf numFmtId="168" fontId="7" fillId="0" borderId="0" xfId="3" applyNumberFormat="1" applyFont="1" applyFill="1" applyBorder="1" applyAlignment="1">
      <alignment vertical="center" wrapText="1"/>
    </xf>
    <xf numFmtId="168" fontId="7" fillId="0" borderId="0" xfId="3" applyNumberFormat="1" applyFont="1" applyFill="1" applyBorder="1" applyAlignment="1">
      <alignment horizontal="right" vertical="center" wrapText="1"/>
    </xf>
    <xf numFmtId="168" fontId="24" fillId="0" borderId="0" xfId="0" applyNumberFormat="1" applyFont="1" applyFill="1" applyBorder="1" applyAlignment="1">
      <alignment horizontal="right" vertical="center" wrapText="1"/>
    </xf>
    <xf numFmtId="3" fontId="7" fillId="0" borderId="3" xfId="3" applyNumberFormat="1" applyFont="1" applyBorder="1" applyAlignment="1">
      <alignment horizontal="right" vertical="center" wrapText="1"/>
    </xf>
    <xf numFmtId="167" fontId="7" fillId="0" borderId="3" xfId="3" applyNumberFormat="1" applyFont="1" applyBorder="1" applyAlignment="1">
      <alignment vertical="center" wrapText="1"/>
    </xf>
    <xf numFmtId="167" fontId="7" fillId="0" borderId="8" xfId="3" applyNumberFormat="1" applyFont="1" applyBorder="1" applyAlignment="1">
      <alignment vertical="center" wrapText="1"/>
    </xf>
    <xf numFmtId="167" fontId="0" fillId="0" borderId="0" xfId="0" applyNumberFormat="1"/>
    <xf numFmtId="49" fontId="24" fillId="0" borderId="16" xfId="0" applyNumberFormat="1" applyFont="1" applyBorder="1" applyAlignment="1">
      <alignment horizontal="right" vertical="center" wrapText="1"/>
    </xf>
    <xf numFmtId="0" fontId="11" fillId="2" borderId="1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1" fillId="2" borderId="1" xfId="3" applyFont="1" applyFill="1" applyBorder="1" applyAlignment="1">
      <alignment vertical="center" wrapText="1"/>
    </xf>
    <xf numFmtId="0" fontId="11" fillId="2" borderId="2" xfId="3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1" fillId="2" borderId="1" xfId="3" applyFont="1" applyFill="1" applyBorder="1" applyAlignment="1">
      <alignment vertical="center" wrapText="1"/>
    </xf>
    <xf numFmtId="168" fontId="10" fillId="0" borderId="0" xfId="3" applyNumberFormat="1" applyFont="1" applyFill="1" applyBorder="1" applyAlignment="1">
      <alignment horizontal="left" vertical="center"/>
    </xf>
    <xf numFmtId="49" fontId="7" fillId="0" borderId="4" xfId="3" applyNumberFormat="1" applyFont="1" applyBorder="1" applyAlignment="1">
      <alignment horizontal="right" vertical="center" wrapText="1"/>
    </xf>
    <xf numFmtId="167" fontId="7" fillId="0" borderId="4" xfId="3" applyNumberFormat="1" applyFont="1" applyFill="1" applyBorder="1" applyAlignment="1">
      <alignment horizontal="right" vertical="center" wrapText="1"/>
    </xf>
    <xf numFmtId="167" fontId="24" fillId="0" borderId="16" xfId="0" applyNumberFormat="1" applyFont="1" applyFill="1" applyBorder="1" applyAlignment="1">
      <alignment horizontal="right" vertical="center" wrapText="1"/>
    </xf>
    <xf numFmtId="3" fontId="24" fillId="0" borderId="16" xfId="0" applyNumberFormat="1" applyFont="1" applyFill="1" applyBorder="1" applyAlignment="1">
      <alignment horizontal="right" vertical="center" wrapText="1"/>
    </xf>
    <xf numFmtId="170" fontId="7" fillId="0" borderId="4" xfId="3" applyNumberFormat="1" applyFont="1" applyFill="1" applyBorder="1" applyAlignment="1">
      <alignment horizontal="right" vertical="center" wrapText="1"/>
    </xf>
    <xf numFmtId="170" fontId="24" fillId="0" borderId="16" xfId="0" applyNumberFormat="1" applyFont="1" applyFill="1" applyBorder="1" applyAlignment="1">
      <alignment horizontal="right" vertical="center" wrapText="1"/>
    </xf>
    <xf numFmtId="0" fontId="10" fillId="0" borderId="3" xfId="3" applyFont="1" applyFill="1" applyBorder="1" applyAlignment="1">
      <alignment vertical="center" wrapText="1"/>
    </xf>
    <xf numFmtId="170" fontId="10" fillId="0" borderId="4" xfId="3" applyNumberFormat="1" applyFont="1" applyFill="1" applyBorder="1" applyAlignment="1">
      <alignment horizontal="right" vertical="center" wrapText="1"/>
    </xf>
    <xf numFmtId="0" fontId="7" fillId="0" borderId="3" xfId="3" applyFont="1" applyFill="1" applyBorder="1" applyAlignment="1">
      <alignment vertical="center" wrapText="1"/>
    </xf>
    <xf numFmtId="10" fontId="7" fillId="0" borderId="4" xfId="3" applyNumberFormat="1" applyFont="1" applyFill="1" applyBorder="1" applyAlignment="1">
      <alignment horizontal="right" vertical="center" wrapText="1"/>
    </xf>
    <xf numFmtId="170" fontId="33" fillId="0" borderId="16" xfId="0" applyNumberFormat="1" applyFont="1" applyFill="1" applyBorder="1" applyAlignment="1">
      <alignment horizontal="right" vertical="center" wrapText="1"/>
    </xf>
    <xf numFmtId="10" fontId="10" fillId="0" borderId="4" xfId="3" applyNumberFormat="1" applyFont="1" applyFill="1" applyBorder="1" applyAlignment="1">
      <alignment horizontal="right" vertical="center" wrapText="1"/>
    </xf>
    <xf numFmtId="10" fontId="33" fillId="0" borderId="16" xfId="0" applyNumberFormat="1" applyFont="1" applyFill="1" applyBorder="1" applyAlignment="1">
      <alignment horizontal="right" vertical="center" wrapText="1"/>
    </xf>
    <xf numFmtId="168" fontId="10" fillId="0" borderId="4" xfId="3" applyNumberFormat="1" applyFont="1" applyFill="1" applyBorder="1" applyAlignment="1">
      <alignment horizontal="right" vertical="center" wrapText="1"/>
    </xf>
    <xf numFmtId="168" fontId="7" fillId="0" borderId="3" xfId="3" applyNumberFormat="1" applyFont="1" applyFill="1" applyBorder="1" applyAlignment="1">
      <alignment vertical="center" wrapText="1"/>
    </xf>
    <xf numFmtId="0" fontId="7" fillId="0" borderId="8" xfId="3" applyFont="1" applyFill="1" applyBorder="1" applyAlignment="1">
      <alignment vertical="center" wrapText="1"/>
    </xf>
    <xf numFmtId="168" fontId="24" fillId="0" borderId="16" xfId="0" applyNumberFormat="1" applyFont="1" applyFill="1" applyBorder="1" applyAlignment="1">
      <alignment horizontal="right" vertical="center" wrapText="1"/>
    </xf>
    <xf numFmtId="3" fontId="25" fillId="0" borderId="12" xfId="3" applyNumberFormat="1" applyFont="1" applyFill="1" applyBorder="1" applyAlignment="1">
      <alignment horizontal="right" vertical="center" wrapText="1"/>
    </xf>
    <xf numFmtId="3" fontId="24" fillId="0" borderId="13" xfId="3" applyNumberFormat="1" applyFont="1" applyFill="1" applyBorder="1" applyAlignment="1">
      <alignment horizontal="right" vertical="center" wrapText="1"/>
    </xf>
    <xf numFmtId="3" fontId="24" fillId="0" borderId="14" xfId="3" applyNumberFormat="1" applyFont="1" applyFill="1" applyBorder="1" applyAlignment="1">
      <alignment horizontal="right" vertical="center" wrapText="1"/>
    </xf>
    <xf numFmtId="167" fontId="7" fillId="0" borderId="3" xfId="3" applyNumberFormat="1" applyFont="1" applyFill="1" applyBorder="1" applyAlignment="1">
      <alignment vertical="center" wrapText="1"/>
    </xf>
    <xf numFmtId="167" fontId="7" fillId="0" borderId="8" xfId="3" applyNumberFormat="1" applyFont="1" applyFill="1" applyBorder="1" applyAlignment="1">
      <alignment vertical="center" wrapText="1"/>
    </xf>
    <xf numFmtId="168" fontId="33" fillId="0" borderId="16" xfId="0" applyNumberFormat="1" applyFont="1" applyFill="1" applyBorder="1" applyAlignment="1">
      <alignment horizontal="right" vertical="center" wrapText="1"/>
    </xf>
    <xf numFmtId="2" fontId="10" fillId="0" borderId="3" xfId="3" applyNumberFormat="1" applyFont="1" applyFill="1" applyBorder="1" applyAlignment="1">
      <alignment vertical="center" wrapText="1"/>
    </xf>
    <xf numFmtId="2" fontId="7" fillId="0" borderId="3" xfId="3" applyNumberFormat="1" applyFont="1" applyFill="1" applyBorder="1" applyAlignment="1">
      <alignment vertical="center" wrapText="1"/>
    </xf>
    <xf numFmtId="2" fontId="24" fillId="0" borderId="16" xfId="0" applyNumberFormat="1" applyFont="1" applyFill="1" applyBorder="1" applyAlignment="1">
      <alignment horizontal="right" vertical="center" wrapText="1"/>
    </xf>
    <xf numFmtId="3" fontId="10" fillId="0" borderId="8" xfId="3" applyNumberFormat="1" applyFont="1" applyBorder="1" applyAlignment="1">
      <alignment vertical="center" wrapText="1"/>
    </xf>
    <xf numFmtId="0" fontId="34" fillId="0" borderId="9" xfId="3" applyFont="1" applyBorder="1" applyAlignment="1">
      <alignment vertical="center" wrapText="1"/>
    </xf>
    <xf numFmtId="165" fontId="35" fillId="0" borderId="2" xfId="1" applyNumberFormat="1" applyFont="1" applyBorder="1"/>
    <xf numFmtId="0" fontId="36" fillId="0" borderId="0" xfId="3" applyFont="1" applyAlignment="1">
      <alignment vertical="center"/>
    </xf>
    <xf numFmtId="2" fontId="7" fillId="0" borderId="8" xfId="3" applyNumberFormat="1" applyFont="1" applyBorder="1" applyAlignment="1">
      <alignment vertical="center" wrapText="1"/>
    </xf>
    <xf numFmtId="2" fontId="7" fillId="0" borderId="15" xfId="3" applyNumberFormat="1" applyFont="1" applyFill="1" applyBorder="1" applyAlignment="1">
      <alignment vertical="center" wrapText="1"/>
    </xf>
    <xf numFmtId="0" fontId="7" fillId="0" borderId="15" xfId="3" applyFont="1" applyBorder="1" applyAlignment="1">
      <alignment horizontal="right" vertical="center" wrapText="1"/>
    </xf>
    <xf numFmtId="4" fontId="10" fillId="0" borderId="4" xfId="3" applyNumberFormat="1" applyFont="1" applyFill="1" applyBorder="1" applyAlignment="1">
      <alignment vertical="center" wrapText="1"/>
    </xf>
    <xf numFmtId="164" fontId="10" fillId="0" borderId="4" xfId="3" applyNumberFormat="1" applyFont="1" applyFill="1" applyBorder="1" applyAlignment="1">
      <alignment vertical="center" wrapText="1"/>
    </xf>
    <xf numFmtId="3" fontId="10" fillId="0" borderId="4" xfId="3" applyNumberFormat="1" applyFont="1" applyFill="1" applyBorder="1" applyAlignment="1">
      <alignment vertical="center" wrapText="1"/>
    </xf>
    <xf numFmtId="3" fontId="10" fillId="0" borderId="5" xfId="3" applyNumberFormat="1" applyFont="1" applyFill="1" applyBorder="1" applyAlignment="1">
      <alignment horizontal="right" vertical="center" wrapText="1"/>
    </xf>
    <xf numFmtId="9" fontId="7" fillId="0" borderId="4" xfId="3" applyNumberFormat="1" applyFont="1" applyFill="1" applyBorder="1" applyAlignment="1">
      <alignment horizontal="right" vertical="center" wrapText="1"/>
    </xf>
    <xf numFmtId="9" fontId="24" fillId="0" borderId="16" xfId="0" applyNumberFormat="1" applyFont="1" applyFill="1" applyBorder="1" applyAlignment="1">
      <alignment horizontal="right" vertical="center" wrapText="1"/>
    </xf>
    <xf numFmtId="169" fontId="7" fillId="0" borderId="4" xfId="3" applyNumberFormat="1" applyFont="1" applyFill="1" applyBorder="1" applyAlignment="1">
      <alignment horizontal="right" vertical="center" wrapText="1"/>
    </xf>
    <xf numFmtId="3" fontId="7" fillId="0" borderId="8" xfId="3" applyNumberFormat="1" applyFont="1" applyBorder="1" applyAlignment="1">
      <alignment vertical="center" wrapText="1"/>
    </xf>
    <xf numFmtId="43" fontId="7" fillId="4" borderId="4" xfId="1" applyFont="1" applyFill="1" applyBorder="1" applyAlignment="1">
      <alignment horizontal="right" vertical="center" wrapText="1"/>
    </xf>
    <xf numFmtId="0" fontId="7" fillId="4" borderId="3" xfId="3" applyFont="1" applyFill="1" applyBorder="1" applyAlignment="1">
      <alignment vertical="center" wrapText="1"/>
    </xf>
    <xf numFmtId="3" fontId="7" fillId="4" borderId="4" xfId="3" applyNumberFormat="1" applyFont="1" applyFill="1" applyBorder="1" applyAlignment="1">
      <alignment horizontal="right" vertical="center" wrapText="1"/>
    </xf>
    <xf numFmtId="165" fontId="7" fillId="4" borderId="4" xfId="1" applyNumberFormat="1" applyFont="1" applyFill="1" applyBorder="1" applyAlignment="1">
      <alignment horizontal="right" vertical="center" wrapText="1"/>
    </xf>
    <xf numFmtId="3" fontId="7" fillId="4" borderId="4" xfId="3" applyNumberFormat="1" applyFont="1" applyFill="1" applyBorder="1" applyAlignment="1">
      <alignment vertical="center" wrapText="1"/>
    </xf>
    <xf numFmtId="0" fontId="12" fillId="0" borderId="7" xfId="3" applyFont="1" applyBorder="1" applyAlignment="1">
      <alignment vertical="center" wrapText="1"/>
    </xf>
    <xf numFmtId="0" fontId="12" fillId="0" borderId="0" xfId="3" applyFont="1" applyBorder="1" applyAlignment="1">
      <alignment vertical="center" wrapText="1"/>
    </xf>
    <xf numFmtId="0" fontId="11" fillId="2" borderId="1" xfId="3" applyFont="1" applyFill="1" applyBorder="1" applyAlignment="1">
      <alignment vertical="center" wrapText="1"/>
    </xf>
    <xf numFmtId="0" fontId="11" fillId="2" borderId="3" xfId="3" applyFont="1" applyFill="1" applyBorder="1" applyAlignment="1">
      <alignment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vertical="center" wrapText="1"/>
    </xf>
    <xf numFmtId="0" fontId="11" fillId="2" borderId="2" xfId="3" applyFont="1" applyFill="1" applyBorder="1" applyAlignment="1">
      <alignment vertical="center" wrapText="1"/>
    </xf>
    <xf numFmtId="0" fontId="11" fillId="2" borderId="9" xfId="3" applyFont="1" applyFill="1" applyBorder="1" applyAlignment="1">
      <alignment vertical="center" wrapText="1"/>
    </xf>
    <xf numFmtId="0" fontId="7" fillId="0" borderId="3" xfId="3" applyFont="1" applyFill="1" applyBorder="1" applyAlignment="1">
      <alignment horizontal="right" vertical="center" wrapText="1"/>
    </xf>
    <xf numFmtId="0" fontId="11" fillId="2" borderId="15" xfId="3" applyFont="1" applyFill="1" applyBorder="1" applyAlignment="1">
      <alignment vertical="center" wrapText="1"/>
    </xf>
  </cellXfs>
  <cellStyles count="91">
    <cellStyle name="Comma" xfId="1" builtinId="3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Hyperlink" xfId="2" builtinId="8"/>
    <cellStyle name="Normal" xfId="0" builtinId="0"/>
    <cellStyle name="Normal_Sheet1" xfId="3"/>
    <cellStyle name="Percent" xfId="8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alcChain" Target="calcChain.xml"/><Relationship Id="rId12" Type="http://schemas.openxmlformats.org/officeDocument/2006/relationships/customXml" Target="../customXml/item1.xml"/><Relationship Id="rId13" Type="http://schemas.openxmlformats.org/officeDocument/2006/relationships/customXml" Target="../customXml/item2.xml"/><Relationship Id="rId1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711200</xdr:colOff>
      <xdr:row>0</xdr:row>
      <xdr:rowOff>127000</xdr:rowOff>
    </xdr:from>
    <xdr:to>
      <xdr:col>10</xdr:col>
      <xdr:colOff>287866</xdr:colOff>
      <xdr:row>2</xdr:row>
      <xdr:rowOff>50800</xdr:rowOff>
    </xdr:to>
    <xdr:pic>
      <xdr:nvPicPr>
        <xdr:cNvPr id="2" name="Picture 1" descr="clip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8600" y="127000"/>
          <a:ext cx="13462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101600</xdr:rowOff>
    </xdr:from>
    <xdr:to>
      <xdr:col>11</xdr:col>
      <xdr:colOff>495299</xdr:colOff>
      <xdr:row>2</xdr:row>
      <xdr:rowOff>25400</xdr:rowOff>
    </xdr:to>
    <xdr:pic>
      <xdr:nvPicPr>
        <xdr:cNvPr id="3" name="Picture 2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0" y="101600"/>
          <a:ext cx="1320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6%20Sust.%20Review/FY16%20Sub-contracted%20Sites%20Scope%203%20Emissions%20Repor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6%20Sust.%20Review/Logistics%20&amp;%20Supply%20Chain%20Collaboration%20FY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5%20Sustainability%20Review/FY15%20Scope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6%20Annual%20Report%20WASTE%20&amp;%20RECYCLING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Intensity Reference"/>
      <sheetName val="RPC"/>
      <sheetName val="P-APac"/>
      <sheetName val="P-LatAm"/>
      <sheetName val="P-AIME"/>
      <sheetName val="P-EU"/>
      <sheetName val="P-NA"/>
      <sheetName val="Containers"/>
    </sheetNames>
    <sheetDataSet>
      <sheetData sheetId="0">
        <row r="36">
          <cell r="E36">
            <v>540.98074454712912</v>
          </cell>
        </row>
        <row r="37">
          <cell r="E37">
            <v>75.705093553207718</v>
          </cell>
        </row>
        <row r="38">
          <cell r="E38">
            <v>73.030124497584765</v>
          </cell>
        </row>
        <row r="39">
          <cell r="E39">
            <v>145.05449736524091</v>
          </cell>
        </row>
        <row r="40">
          <cell r="E40">
            <v>8.2242249359406046</v>
          </cell>
        </row>
        <row r="41">
          <cell r="E41">
            <v>23.089659110122099</v>
          </cell>
        </row>
        <row r="42">
          <cell r="E42">
            <v>0.54766652458356924</v>
          </cell>
        </row>
        <row r="43">
          <cell r="E43">
            <v>20.25604497333968</v>
          </cell>
        </row>
        <row r="44">
          <cell r="E44">
            <v>135.9892927548085</v>
          </cell>
        </row>
        <row r="45">
          <cell r="E45">
            <v>95.939041494539694</v>
          </cell>
        </row>
        <row r="46">
          <cell r="E46">
            <v>2.7161917052478208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FY15"/>
      <sheetName val="Method"/>
      <sheetName val="Pallets NA FY15 Restated"/>
      <sheetName val="Pallets AIME"/>
      <sheetName val="Pallets AsiaPac"/>
      <sheetName val="Pallets EU"/>
      <sheetName val="Pallets LatAm"/>
      <sheetName val="Pallets NA"/>
      <sheetName val="IFCO"/>
      <sheetName val="Containers"/>
      <sheetName val="NA FY15 comparison"/>
    </sheetNames>
    <sheetDataSet>
      <sheetData sheetId="0">
        <row r="6">
          <cell r="G6">
            <v>9518076.0270270277</v>
          </cell>
          <cell r="P6">
            <v>103.11140991305106</v>
          </cell>
        </row>
        <row r="7">
          <cell r="P7">
            <v>309.73602932645963</v>
          </cell>
        </row>
        <row r="8">
          <cell r="P8">
            <v>1797.44409615</v>
          </cell>
        </row>
        <row r="9">
          <cell r="P9">
            <v>609.66901359955943</v>
          </cell>
        </row>
        <row r="11">
          <cell r="P11">
            <v>2311.9488131309104</v>
          </cell>
        </row>
        <row r="12">
          <cell r="P12">
            <v>3136.5153583257661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 AIME"/>
      <sheetName val="L ANZ"/>
      <sheetName val="L Asia"/>
      <sheetName val="L EU"/>
      <sheetName val="L LatAm"/>
      <sheetName val="L NA"/>
      <sheetName val="L Containers"/>
      <sheetName val="L RPC"/>
      <sheetName val="Summary"/>
      <sheetName val="S AIME"/>
      <sheetName val="S ANZ"/>
      <sheetName val="S Asia"/>
      <sheetName val="S LatAm"/>
      <sheetName val="S EU"/>
      <sheetName val="S NA"/>
      <sheetName val="S Containers"/>
      <sheetName val="S R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9">
          <cell r="G89">
            <v>531.49337072114986</v>
          </cell>
        </row>
        <row r="90">
          <cell r="G90">
            <v>72.272772997122757</v>
          </cell>
        </row>
        <row r="91">
          <cell r="G91">
            <v>83.046283237594849</v>
          </cell>
        </row>
        <row r="92">
          <cell r="G92">
            <v>168.52616129199689</v>
          </cell>
        </row>
        <row r="93">
          <cell r="G93">
            <v>13.19982185088093</v>
          </cell>
        </row>
        <row r="94">
          <cell r="G94">
            <v>83.205956677874951</v>
          </cell>
        </row>
        <row r="95">
          <cell r="G95">
            <v>0.56082188016555923</v>
          </cell>
        </row>
        <row r="96">
          <cell r="G96">
            <v>26.184329391290813</v>
          </cell>
        </row>
        <row r="97">
          <cell r="G97">
            <v>75.628585023964874</v>
          </cell>
        </row>
        <row r="98">
          <cell r="G98">
            <v>48.275157317371672</v>
          </cell>
        </row>
        <row r="99">
          <cell r="G99">
            <v>3.030228857326795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duct"/>
      <sheetName val="Business Unit"/>
      <sheetName val="Site"/>
      <sheetName val="Error Check"/>
      <sheetName val="Raw Data"/>
    </sheetNames>
    <sheetDataSet>
      <sheetData sheetId="0">
        <row r="8">
          <cell r="Q8">
            <v>8.0639999999999983</v>
          </cell>
        </row>
        <row r="9">
          <cell r="Q9">
            <v>2350.8353906916996</v>
          </cell>
        </row>
        <row r="11">
          <cell r="P11">
            <v>588.96599999999955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ambles.com/sustainability/sustainability-review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ambles.com/sustainability/sustainability-revie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ambles.com/sustainability/sustainability-review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3"/>
  <sheetViews>
    <sheetView tabSelected="1" topLeftCell="A17" zoomScale="150" zoomScaleNormal="150" zoomScalePageLayoutView="150" workbookViewId="0">
      <selection activeCell="E36" sqref="E36"/>
    </sheetView>
  </sheetViews>
  <sheetFormatPr baseColWidth="10" defaultColWidth="11" defaultRowHeight="15" x14ac:dyDescent="0"/>
  <cols>
    <col min="1" max="1" width="4.83203125" customWidth="1"/>
    <col min="2" max="2" width="12.33203125" customWidth="1"/>
    <col min="3" max="3" width="14.1640625" customWidth="1"/>
    <col min="5" max="5" width="14.1640625" customWidth="1"/>
    <col min="8" max="8" width="13.1640625" customWidth="1"/>
    <col min="9" max="9" width="12.1640625" customWidth="1"/>
  </cols>
  <sheetData>
    <row r="1" spans="2:10">
      <c r="B1" s="139" t="s">
        <v>0</v>
      </c>
      <c r="C1" s="139"/>
    </row>
    <row r="2" spans="2:10">
      <c r="B2" s="139" t="s">
        <v>333</v>
      </c>
      <c r="C2" s="139"/>
    </row>
    <row r="3" spans="2:10">
      <c r="B3" s="139"/>
      <c r="C3" s="139"/>
    </row>
    <row r="4" spans="2:10" ht="23.25">
      <c r="B4" s="153" t="s">
        <v>284</v>
      </c>
      <c r="C4" s="153"/>
    </row>
    <row r="5" spans="2:10">
      <c r="B5" s="4" t="s">
        <v>2</v>
      </c>
      <c r="C5" s="4"/>
    </row>
    <row r="6" spans="2:10">
      <c r="B6" s="4"/>
      <c r="C6" s="4"/>
    </row>
    <row r="7" spans="2:10" ht="18.75">
      <c r="B7" s="140" t="s">
        <v>313</v>
      </c>
      <c r="C7" s="140"/>
    </row>
    <row r="8" spans="2:10">
      <c r="B8" s="141"/>
      <c r="C8" s="141"/>
    </row>
    <row r="9" spans="2:10">
      <c r="B9" s="142" t="s">
        <v>285</v>
      </c>
      <c r="C9" s="142"/>
    </row>
    <row r="10" spans="2:10" ht="16.5" thickBot="1">
      <c r="B10" s="142"/>
      <c r="C10" s="142"/>
    </row>
    <row r="11" spans="2:10">
      <c r="B11" s="87" t="s">
        <v>26</v>
      </c>
      <c r="C11" s="8" t="s">
        <v>332</v>
      </c>
      <c r="D11" s="8" t="s">
        <v>363</v>
      </c>
      <c r="E11" s="8" t="s">
        <v>4</v>
      </c>
      <c r="F11" s="144"/>
      <c r="G11" s="144"/>
      <c r="H11" s="144"/>
      <c r="I11" s="144"/>
      <c r="J11" s="144"/>
    </row>
    <row r="12" spans="2:10" ht="24">
      <c r="B12" s="9" t="s">
        <v>286</v>
      </c>
      <c r="C12" s="63">
        <v>2534000</v>
      </c>
      <c r="D12" s="15">
        <v>2349000</v>
      </c>
      <c r="E12" s="15">
        <v>990000</v>
      </c>
      <c r="F12" s="143"/>
    </row>
    <row r="13" spans="2:10" ht="24">
      <c r="B13" s="9" t="s">
        <v>287</v>
      </c>
      <c r="C13" s="63">
        <v>1609000</v>
      </c>
      <c r="D13" s="15">
        <v>1491000</v>
      </c>
      <c r="E13" s="15">
        <v>1380000</v>
      </c>
      <c r="F13" s="143"/>
    </row>
    <row r="14" spans="2:10" ht="48">
      <c r="B14" s="9" t="s">
        <v>288</v>
      </c>
      <c r="C14" s="63">
        <v>1425000</v>
      </c>
      <c r="D14" s="15">
        <v>1389000</v>
      </c>
      <c r="E14" s="15">
        <v>459000</v>
      </c>
      <c r="F14" s="143"/>
    </row>
    <row r="15" spans="2:10" ht="45">
      <c r="B15" s="9" t="s">
        <v>289</v>
      </c>
      <c r="C15" s="74">
        <v>116610</v>
      </c>
      <c r="D15" s="15">
        <v>173920</v>
      </c>
      <c r="E15" s="15">
        <v>3000</v>
      </c>
      <c r="F15" s="143"/>
    </row>
    <row r="16" spans="2:10" ht="24">
      <c r="B16" s="9" t="s">
        <v>290</v>
      </c>
      <c r="C16" s="30">
        <v>4500</v>
      </c>
      <c r="D16" s="15">
        <v>4220</v>
      </c>
      <c r="E16" s="15">
        <v>11000</v>
      </c>
      <c r="F16" s="143"/>
    </row>
    <row r="17" spans="2:8" ht="30.75" thickBot="1">
      <c r="B17" s="24" t="s">
        <v>291</v>
      </c>
      <c r="C17" s="99">
        <v>7474</v>
      </c>
      <c r="D17" s="98">
        <v>8114</v>
      </c>
      <c r="E17" s="98">
        <v>6215</v>
      </c>
      <c r="F17" s="143"/>
    </row>
    <row r="18" spans="2:8" ht="16.5" thickBot="1">
      <c r="B18" s="142"/>
      <c r="C18" s="142"/>
    </row>
    <row r="19" spans="2:8" ht="60.75" thickBot="1">
      <c r="C19" s="8" t="s">
        <v>286</v>
      </c>
      <c r="D19" s="8" t="s">
        <v>287</v>
      </c>
      <c r="E19" s="8" t="s">
        <v>288</v>
      </c>
      <c r="F19" s="8" t="s">
        <v>289</v>
      </c>
      <c r="G19" s="8" t="s">
        <v>290</v>
      </c>
      <c r="H19" s="8" t="s">
        <v>360</v>
      </c>
    </row>
    <row r="20" spans="2:8">
      <c r="B20" s="49" t="s">
        <v>332</v>
      </c>
      <c r="C20" s="62"/>
      <c r="D20" s="62"/>
      <c r="E20" s="62"/>
      <c r="F20" s="62"/>
      <c r="G20" s="62"/>
      <c r="H20" s="62"/>
    </row>
    <row r="21" spans="2:8">
      <c r="B21" s="19" t="s">
        <v>26</v>
      </c>
      <c r="C21" s="138">
        <v>2534000</v>
      </c>
      <c r="D21" s="10">
        <v>1609000</v>
      </c>
      <c r="E21" s="10">
        <v>1425000</v>
      </c>
      <c r="F21" s="138">
        <f>SUM(F23+F25)</f>
        <v>116610</v>
      </c>
      <c r="G21" s="10">
        <v>4500</v>
      </c>
      <c r="H21" s="138">
        <v>7474</v>
      </c>
    </row>
    <row r="22" spans="2:8">
      <c r="B22" s="9" t="s">
        <v>292</v>
      </c>
      <c r="C22" s="15">
        <v>1870000</v>
      </c>
      <c r="D22" s="15">
        <v>1609000</v>
      </c>
      <c r="E22" s="15">
        <v>1195000</v>
      </c>
      <c r="F22" s="218" t="s">
        <v>16</v>
      </c>
      <c r="G22" s="15">
        <v>2200</v>
      </c>
      <c r="H22" s="106"/>
    </row>
    <row r="23" spans="2:8">
      <c r="B23" s="9" t="s">
        <v>43</v>
      </c>
      <c r="C23" s="15">
        <v>610000</v>
      </c>
      <c r="D23" s="106"/>
      <c r="E23" s="15">
        <v>230000</v>
      </c>
      <c r="F23" s="15">
        <v>4320</v>
      </c>
      <c r="G23" s="15">
        <v>2300</v>
      </c>
      <c r="H23" s="106"/>
    </row>
    <row r="24" spans="2:8" ht="60">
      <c r="B24" s="9" t="s">
        <v>361</v>
      </c>
      <c r="C24" s="129">
        <v>54000</v>
      </c>
      <c r="D24" s="106"/>
      <c r="E24" s="106"/>
      <c r="F24" s="106"/>
      <c r="G24" s="106"/>
      <c r="H24" s="106"/>
    </row>
    <row r="25" spans="2:8" ht="30.75" thickBot="1">
      <c r="B25" s="9" t="s">
        <v>293</v>
      </c>
      <c r="C25" s="106"/>
      <c r="D25" s="106"/>
      <c r="E25" s="106"/>
      <c r="F25" s="63">
        <v>112290</v>
      </c>
      <c r="G25" s="106"/>
      <c r="H25" s="106"/>
    </row>
    <row r="26" spans="2:8">
      <c r="B26" s="49" t="s">
        <v>363</v>
      </c>
      <c r="C26" s="8"/>
      <c r="D26" s="8"/>
      <c r="E26" s="8"/>
      <c r="F26" s="8"/>
      <c r="G26" s="8"/>
      <c r="H26" s="8"/>
    </row>
    <row r="27" spans="2:8">
      <c r="B27" s="19" t="s">
        <v>26</v>
      </c>
      <c r="C27" s="10">
        <v>2349000</v>
      </c>
      <c r="D27" s="10">
        <v>1491000</v>
      </c>
      <c r="E27" s="10">
        <v>1389000</v>
      </c>
      <c r="F27" s="10">
        <v>173920</v>
      </c>
      <c r="G27" s="10">
        <v>4220</v>
      </c>
      <c r="H27" s="10">
        <v>8114</v>
      </c>
    </row>
    <row r="28" spans="2:8" ht="24">
      <c r="B28" s="9" t="s">
        <v>292</v>
      </c>
      <c r="C28" s="15">
        <v>1800000</v>
      </c>
      <c r="D28" s="15">
        <v>1491000</v>
      </c>
      <c r="E28" s="15">
        <v>1189000</v>
      </c>
      <c r="F28" s="218" t="s">
        <v>16</v>
      </c>
      <c r="G28" s="15">
        <v>2000</v>
      </c>
      <c r="H28" s="106"/>
    </row>
    <row r="29" spans="2:8">
      <c r="B29" s="9" t="s">
        <v>43</v>
      </c>
      <c r="C29" s="15">
        <v>549000</v>
      </c>
      <c r="D29" s="106"/>
      <c r="E29" s="15">
        <v>200000</v>
      </c>
      <c r="F29" s="15">
        <v>3920</v>
      </c>
      <c r="G29" s="15">
        <v>2220</v>
      </c>
      <c r="H29" s="106"/>
    </row>
    <row r="30" spans="2:8" ht="60">
      <c r="B30" s="9" t="s">
        <v>361</v>
      </c>
      <c r="C30" s="15">
        <v>36103</v>
      </c>
      <c r="D30" s="106"/>
      <c r="E30" s="106"/>
      <c r="F30" s="106"/>
      <c r="G30" s="106"/>
      <c r="H30" s="106"/>
    </row>
    <row r="31" spans="2:8" ht="30.75" thickBot="1">
      <c r="B31" s="9" t="s">
        <v>293</v>
      </c>
      <c r="C31" s="106"/>
      <c r="D31" s="106"/>
      <c r="E31" s="106"/>
      <c r="F31" s="15">
        <v>170000</v>
      </c>
      <c r="G31" s="106"/>
      <c r="H31" s="106"/>
    </row>
    <row r="32" spans="2:8">
      <c r="B32" s="49" t="s">
        <v>4</v>
      </c>
      <c r="C32" s="8"/>
      <c r="D32" s="8"/>
      <c r="E32" s="8"/>
      <c r="F32" s="8"/>
      <c r="G32" s="8"/>
      <c r="H32" s="8"/>
    </row>
    <row r="33" spans="2:9" ht="16.5" thickBot="1">
      <c r="B33" s="19" t="s">
        <v>26</v>
      </c>
      <c r="C33" s="10">
        <v>990000</v>
      </c>
      <c r="D33" s="10">
        <v>1380000</v>
      </c>
      <c r="E33" s="10">
        <v>459000</v>
      </c>
      <c r="F33" s="10">
        <v>3000</v>
      </c>
      <c r="G33" s="10">
        <v>11000</v>
      </c>
      <c r="H33" s="178">
        <v>6215</v>
      </c>
    </row>
    <row r="34" spans="2:9" ht="24">
      <c r="B34" s="9" t="s">
        <v>292</v>
      </c>
      <c r="C34" s="15">
        <v>630000</v>
      </c>
      <c r="D34" s="15">
        <v>1380000</v>
      </c>
      <c r="E34" s="15">
        <v>420000</v>
      </c>
      <c r="F34" s="218" t="s">
        <v>16</v>
      </c>
      <c r="G34" s="15">
        <v>11000</v>
      </c>
      <c r="H34" s="106"/>
    </row>
    <row r="35" spans="2:9" ht="16" thickBot="1">
      <c r="B35" s="9" t="s">
        <v>43</v>
      </c>
      <c r="C35" s="15">
        <v>325000</v>
      </c>
      <c r="D35" s="106"/>
      <c r="E35" s="258">
        <v>39000</v>
      </c>
      <c r="F35" s="15">
        <v>3000</v>
      </c>
      <c r="G35" s="106"/>
      <c r="H35" s="106"/>
    </row>
    <row r="36" spans="2:9" ht="48">
      <c r="B36" s="9" t="s">
        <v>361</v>
      </c>
      <c r="C36" s="15">
        <v>35702</v>
      </c>
      <c r="D36" s="106"/>
      <c r="E36" s="106"/>
      <c r="F36" s="106"/>
      <c r="G36" s="106"/>
      <c r="H36" s="106"/>
    </row>
    <row r="37" spans="2:9" ht="30.75" thickBot="1">
      <c r="B37" s="24" t="s">
        <v>293</v>
      </c>
      <c r="C37" s="106"/>
      <c r="D37" s="106"/>
      <c r="E37" s="106"/>
      <c r="F37" s="154" t="s">
        <v>16</v>
      </c>
      <c r="G37" s="106"/>
      <c r="H37" s="106"/>
    </row>
    <row r="38" spans="2:9">
      <c r="B38" s="145"/>
      <c r="C38" s="155"/>
      <c r="D38" s="156"/>
      <c r="E38" s="145"/>
      <c r="F38" s="155"/>
    </row>
    <row r="39" spans="2:9">
      <c r="B39" s="142" t="s">
        <v>294</v>
      </c>
      <c r="C39" s="142"/>
    </row>
    <row r="40" spans="2:9">
      <c r="B40" s="142"/>
      <c r="C40" s="142"/>
    </row>
    <row r="41" spans="2:9">
      <c r="B41" s="142" t="s">
        <v>351</v>
      </c>
      <c r="C41" s="4"/>
    </row>
    <row r="42" spans="2:9" ht="16.5" thickBot="1">
      <c r="B42" s="141"/>
      <c r="C42" s="141"/>
    </row>
    <row r="43" spans="2:9">
      <c r="B43" s="87" t="s">
        <v>26</v>
      </c>
      <c r="C43" s="8" t="s">
        <v>332</v>
      </c>
      <c r="D43" s="8" t="s">
        <v>105</v>
      </c>
      <c r="E43" s="8" t="s">
        <v>4</v>
      </c>
      <c r="F43" s="8" t="s">
        <v>5</v>
      </c>
      <c r="G43" s="8" t="s">
        <v>6</v>
      </c>
    </row>
    <row r="44" spans="2:9" ht="30">
      <c r="B44" s="9" t="s">
        <v>295</v>
      </c>
      <c r="C44" s="218" t="s">
        <v>352</v>
      </c>
      <c r="D44" s="15" t="s">
        <v>314</v>
      </c>
      <c r="E44" s="15" t="s">
        <v>296</v>
      </c>
      <c r="F44" s="15" t="s">
        <v>297</v>
      </c>
      <c r="G44" s="15" t="s">
        <v>298</v>
      </c>
    </row>
    <row r="45" spans="2:9" ht="45.75" thickBot="1">
      <c r="B45" s="24" t="s">
        <v>299</v>
      </c>
      <c r="C45" s="209" t="s">
        <v>353</v>
      </c>
      <c r="D45" s="209" t="s">
        <v>302</v>
      </c>
      <c r="E45" s="154" t="s">
        <v>300</v>
      </c>
      <c r="F45" s="154" t="s">
        <v>301</v>
      </c>
      <c r="G45" s="154" t="s">
        <v>302</v>
      </c>
    </row>
    <row r="46" spans="2:9">
      <c r="B46" s="145"/>
      <c r="C46" s="155"/>
      <c r="D46" s="145"/>
      <c r="E46" s="155"/>
      <c r="F46" s="155"/>
      <c r="G46" s="155"/>
      <c r="H46" s="145"/>
      <c r="I46" s="155"/>
    </row>
    <row r="47" spans="2:9" ht="18.75">
      <c r="B47" s="140" t="s">
        <v>145</v>
      </c>
      <c r="C47" s="140"/>
    </row>
    <row r="48" spans="2:9">
      <c r="B48" s="141"/>
      <c r="C48" s="141"/>
    </row>
    <row r="49" spans="2:9">
      <c r="B49" s="142" t="s">
        <v>146</v>
      </c>
      <c r="C49" s="142"/>
    </row>
    <row r="50" spans="2:9">
      <c r="B50" s="142"/>
      <c r="C50" s="142"/>
    </row>
    <row r="51" spans="2:9">
      <c r="B51" t="s">
        <v>331</v>
      </c>
      <c r="C51" s="4"/>
    </row>
    <row r="52" spans="2:9" ht="16.5" thickBot="1">
      <c r="B52" s="141"/>
      <c r="C52" s="141"/>
    </row>
    <row r="53" spans="2:9">
      <c r="B53" s="87"/>
      <c r="C53" s="8" t="s">
        <v>332</v>
      </c>
      <c r="D53" s="212"/>
      <c r="E53" s="8" t="s">
        <v>105</v>
      </c>
      <c r="F53" s="8" t="s">
        <v>4</v>
      </c>
      <c r="G53" s="87"/>
      <c r="H53" s="8" t="s">
        <v>5</v>
      </c>
      <c r="I53" s="8" t="s">
        <v>6</v>
      </c>
    </row>
    <row r="54" spans="2:9">
      <c r="B54" s="19" t="s">
        <v>26</v>
      </c>
      <c r="C54" s="138">
        <v>13797</v>
      </c>
      <c r="D54" s="19" t="s">
        <v>26</v>
      </c>
      <c r="E54" s="10">
        <v>14996</v>
      </c>
      <c r="F54" s="10">
        <v>13568</v>
      </c>
      <c r="G54" s="19" t="s">
        <v>26</v>
      </c>
      <c r="H54" s="10">
        <v>13752</v>
      </c>
      <c r="I54" s="10">
        <v>17905</v>
      </c>
    </row>
    <row r="55" spans="2:9" ht="30">
      <c r="B55" s="9" t="s">
        <v>8</v>
      </c>
      <c r="C55" s="63">
        <v>5702</v>
      </c>
      <c r="D55" s="9" t="s">
        <v>8</v>
      </c>
      <c r="E55" s="15">
        <f>484+5422</f>
        <v>5906</v>
      </c>
      <c r="F55" s="15">
        <v>5710</v>
      </c>
      <c r="G55" s="9" t="s">
        <v>8</v>
      </c>
      <c r="H55" s="15">
        <v>6564</v>
      </c>
      <c r="I55" s="15">
        <v>5972</v>
      </c>
    </row>
    <row r="56" spans="2:9">
      <c r="B56" s="9" t="s">
        <v>9</v>
      </c>
      <c r="C56" s="63">
        <v>4515</v>
      </c>
      <c r="D56" s="9" t="s">
        <v>9</v>
      </c>
      <c r="E56" s="15">
        <f>1680+2366</f>
        <v>4046</v>
      </c>
      <c r="F56" s="15">
        <v>3337</v>
      </c>
      <c r="G56" s="9" t="s">
        <v>9</v>
      </c>
      <c r="H56" s="15">
        <v>2906</v>
      </c>
      <c r="I56" s="15">
        <v>2752</v>
      </c>
    </row>
    <row r="57" spans="2:9" ht="30">
      <c r="B57" s="9" t="s">
        <v>10</v>
      </c>
      <c r="C57" s="63">
        <v>1634</v>
      </c>
      <c r="D57" s="9" t="s">
        <v>10</v>
      </c>
      <c r="E57" s="15">
        <v>1522</v>
      </c>
      <c r="F57" s="15">
        <v>1437</v>
      </c>
      <c r="G57" s="9" t="s">
        <v>10</v>
      </c>
      <c r="H57" s="15">
        <v>1412</v>
      </c>
      <c r="I57" s="15">
        <v>1443</v>
      </c>
    </row>
    <row r="58" spans="2:9">
      <c r="B58" s="9" t="s">
        <v>43</v>
      </c>
      <c r="C58" s="63">
        <v>1220</v>
      </c>
      <c r="D58" s="9" t="s">
        <v>43</v>
      </c>
      <c r="E58" s="15">
        <v>1159</v>
      </c>
      <c r="F58" s="15">
        <v>1048</v>
      </c>
      <c r="G58" s="9" t="s">
        <v>43</v>
      </c>
      <c r="H58" s="15">
        <v>1278</v>
      </c>
      <c r="I58" s="15">
        <v>1226</v>
      </c>
    </row>
    <row r="59" spans="2:9" ht="16.5" thickBot="1">
      <c r="B59" s="24" t="s">
        <v>111</v>
      </c>
      <c r="C59" s="221">
        <v>726</v>
      </c>
      <c r="D59" s="9" t="s">
        <v>36</v>
      </c>
      <c r="E59" s="15">
        <v>1705</v>
      </c>
      <c r="F59" s="15">
        <v>1487</v>
      </c>
      <c r="G59" s="9" t="s">
        <v>36</v>
      </c>
      <c r="H59" s="15">
        <v>1300</v>
      </c>
      <c r="I59" s="15">
        <v>1292</v>
      </c>
    </row>
    <row r="60" spans="2:9" ht="30.75" thickBot="1">
      <c r="D60" s="24" t="s">
        <v>147</v>
      </c>
      <c r="E60" s="154">
        <v>658</v>
      </c>
      <c r="F60" s="154">
        <v>549</v>
      </c>
      <c r="G60" s="9" t="s">
        <v>148</v>
      </c>
      <c r="H60" s="15" t="s">
        <v>52</v>
      </c>
      <c r="I60" s="15">
        <v>4918</v>
      </c>
    </row>
    <row r="61" spans="2:9" ht="16.5" thickBot="1">
      <c r="G61" s="24" t="s">
        <v>54</v>
      </c>
      <c r="H61" s="154">
        <v>292</v>
      </c>
      <c r="I61" s="154">
        <v>302</v>
      </c>
    </row>
    <row r="62" spans="2:9">
      <c r="B62" s="142"/>
      <c r="C62" s="142"/>
    </row>
    <row r="63" spans="2:9">
      <c r="B63" s="142" t="s">
        <v>149</v>
      </c>
      <c r="C63" s="142"/>
    </row>
    <row r="64" spans="2:9" ht="16.5" thickBot="1">
      <c r="B64" s="141"/>
      <c r="C64" s="141"/>
    </row>
    <row r="65" spans="2:9">
      <c r="B65" s="212"/>
      <c r="C65" s="8" t="s">
        <v>332</v>
      </c>
      <c r="D65" s="87"/>
      <c r="E65" s="8" t="s">
        <v>105</v>
      </c>
      <c r="F65" s="8" t="s">
        <v>4</v>
      </c>
      <c r="G65" s="87"/>
      <c r="H65" s="8" t="s">
        <v>5</v>
      </c>
      <c r="I65" s="8" t="s">
        <v>6</v>
      </c>
    </row>
    <row r="66" spans="2:9">
      <c r="B66" s="19" t="s">
        <v>26</v>
      </c>
      <c r="C66" s="138" t="s">
        <v>334</v>
      </c>
      <c r="D66" s="19" t="s">
        <v>26</v>
      </c>
      <c r="E66" s="10" t="s">
        <v>150</v>
      </c>
      <c r="F66" s="10" t="s">
        <v>151</v>
      </c>
      <c r="G66" s="19" t="s">
        <v>26</v>
      </c>
      <c r="H66" s="10" t="s">
        <v>152</v>
      </c>
      <c r="I66" s="10" t="s">
        <v>153</v>
      </c>
    </row>
    <row r="67" spans="2:9" ht="30">
      <c r="B67" s="9" t="s">
        <v>8</v>
      </c>
      <c r="C67" s="63" t="s">
        <v>335</v>
      </c>
      <c r="D67" s="9" t="s">
        <v>8</v>
      </c>
      <c r="E67" s="15" t="s">
        <v>315</v>
      </c>
      <c r="F67" s="15" t="s">
        <v>155</v>
      </c>
      <c r="G67" s="9" t="s">
        <v>8</v>
      </c>
      <c r="H67" s="15" t="s">
        <v>156</v>
      </c>
      <c r="I67" s="15" t="s">
        <v>157</v>
      </c>
    </row>
    <row r="68" spans="2:9">
      <c r="B68" s="9" t="s">
        <v>9</v>
      </c>
      <c r="C68" s="63" t="s">
        <v>336</v>
      </c>
      <c r="D68" s="9" t="s">
        <v>9</v>
      </c>
      <c r="E68" s="15" t="s">
        <v>316</v>
      </c>
      <c r="F68" s="15" t="s">
        <v>158</v>
      </c>
      <c r="G68" s="9" t="s">
        <v>9</v>
      </c>
      <c r="H68" s="15" t="s">
        <v>159</v>
      </c>
      <c r="I68" s="15" t="s">
        <v>160</v>
      </c>
    </row>
    <row r="69" spans="2:9" ht="30">
      <c r="B69" s="9" t="s">
        <v>10</v>
      </c>
      <c r="C69" s="63" t="s">
        <v>337</v>
      </c>
      <c r="D69" s="9" t="s">
        <v>10</v>
      </c>
      <c r="E69" s="15" t="s">
        <v>161</v>
      </c>
      <c r="F69" s="15" t="s">
        <v>162</v>
      </c>
      <c r="G69" s="9" t="s">
        <v>10</v>
      </c>
      <c r="H69" s="15" t="s">
        <v>163</v>
      </c>
      <c r="I69" s="15" t="s">
        <v>164</v>
      </c>
    </row>
    <row r="70" spans="2:9">
      <c r="B70" s="9" t="s">
        <v>43</v>
      </c>
      <c r="C70" s="63" t="s">
        <v>338</v>
      </c>
      <c r="D70" s="9" t="s">
        <v>43</v>
      </c>
      <c r="E70" s="15" t="s">
        <v>165</v>
      </c>
      <c r="F70" s="15" t="s">
        <v>166</v>
      </c>
      <c r="G70" s="9" t="s">
        <v>43</v>
      </c>
      <c r="H70" s="15" t="s">
        <v>167</v>
      </c>
      <c r="I70" s="15" t="s">
        <v>168</v>
      </c>
    </row>
    <row r="71" spans="2:9" ht="16.5" thickBot="1">
      <c r="B71" s="24" t="s">
        <v>111</v>
      </c>
      <c r="C71" s="221" t="s">
        <v>339</v>
      </c>
      <c r="D71" s="9" t="s">
        <v>36</v>
      </c>
      <c r="E71" s="15" t="s">
        <v>169</v>
      </c>
      <c r="F71" s="15" t="s">
        <v>170</v>
      </c>
      <c r="G71" s="9" t="s">
        <v>36</v>
      </c>
      <c r="H71" s="15" t="s">
        <v>171</v>
      </c>
      <c r="I71" s="15" t="s">
        <v>172</v>
      </c>
    </row>
    <row r="72" spans="2:9" ht="16.5" thickBot="1">
      <c r="D72" s="24" t="s">
        <v>111</v>
      </c>
      <c r="E72" s="154" t="s">
        <v>173</v>
      </c>
      <c r="F72" s="154" t="s">
        <v>174</v>
      </c>
      <c r="G72" s="9" t="s">
        <v>44</v>
      </c>
      <c r="H72" s="15" t="s">
        <v>52</v>
      </c>
      <c r="I72" s="15" t="s">
        <v>175</v>
      </c>
    </row>
    <row r="73" spans="2:9" ht="16.5" thickBot="1">
      <c r="E73" s="141"/>
      <c r="G73" s="24" t="s">
        <v>54</v>
      </c>
      <c r="H73" s="154" t="s">
        <v>176</v>
      </c>
      <c r="I73" s="154" t="s">
        <v>177</v>
      </c>
    </row>
    <row r="74" spans="2:9">
      <c r="B74" s="141"/>
      <c r="C74" s="141"/>
    </row>
    <row r="75" spans="2:9">
      <c r="B75" s="142" t="s">
        <v>178</v>
      </c>
      <c r="C75" s="142"/>
    </row>
    <row r="76" spans="2:9" ht="16.5" thickBot="1">
      <c r="B76" s="141"/>
      <c r="C76" s="141"/>
    </row>
    <row r="77" spans="2:9">
      <c r="B77" s="212"/>
      <c r="C77" s="8" t="s">
        <v>332</v>
      </c>
      <c r="D77" s="8"/>
      <c r="E77" s="8" t="s">
        <v>105</v>
      </c>
      <c r="F77" s="8" t="s">
        <v>4</v>
      </c>
      <c r="G77" s="8"/>
      <c r="H77" s="8" t="s">
        <v>5</v>
      </c>
      <c r="I77" s="8" t="s">
        <v>6</v>
      </c>
    </row>
    <row r="78" spans="2:9">
      <c r="B78" s="19" t="s">
        <v>26</v>
      </c>
      <c r="C78" s="138" t="s">
        <v>340</v>
      </c>
      <c r="D78" s="19" t="s">
        <v>26</v>
      </c>
      <c r="E78" s="10" t="s">
        <v>169</v>
      </c>
      <c r="F78" s="10" t="s">
        <v>179</v>
      </c>
      <c r="G78" s="19" t="s">
        <v>26</v>
      </c>
      <c r="H78" s="10" t="s">
        <v>154</v>
      </c>
      <c r="I78" s="10" t="s">
        <v>180</v>
      </c>
    </row>
    <row r="79" spans="2:9" ht="30">
      <c r="B79" s="9" t="s">
        <v>8</v>
      </c>
      <c r="C79" s="63" t="s">
        <v>341</v>
      </c>
      <c r="D79" s="9" t="s">
        <v>8</v>
      </c>
      <c r="E79" s="15" t="s">
        <v>182</v>
      </c>
      <c r="F79" s="15" t="s">
        <v>183</v>
      </c>
      <c r="G79" s="9" t="s">
        <v>8</v>
      </c>
      <c r="H79" s="15" t="s">
        <v>184</v>
      </c>
      <c r="I79" s="15" t="s">
        <v>185</v>
      </c>
    </row>
    <row r="80" spans="2:9">
      <c r="B80" s="9" t="s">
        <v>9</v>
      </c>
      <c r="C80" s="63" t="s">
        <v>343</v>
      </c>
      <c r="D80" s="9" t="s">
        <v>9</v>
      </c>
      <c r="E80" s="15" t="s">
        <v>186</v>
      </c>
      <c r="F80" s="15" t="s">
        <v>187</v>
      </c>
      <c r="G80" s="9" t="s">
        <v>9</v>
      </c>
      <c r="H80" s="15" t="s">
        <v>188</v>
      </c>
      <c r="I80" s="15" t="s">
        <v>189</v>
      </c>
    </row>
    <row r="81" spans="2:10" ht="30">
      <c r="B81" s="9" t="s">
        <v>10</v>
      </c>
      <c r="C81" s="63" t="s">
        <v>342</v>
      </c>
      <c r="D81" s="9" t="s">
        <v>10</v>
      </c>
      <c r="E81" s="15" t="s">
        <v>190</v>
      </c>
      <c r="F81" s="15" t="s">
        <v>191</v>
      </c>
      <c r="G81" s="9" t="s">
        <v>10</v>
      </c>
      <c r="H81" s="15" t="s">
        <v>192</v>
      </c>
      <c r="I81" s="15" t="s">
        <v>193</v>
      </c>
    </row>
    <row r="82" spans="2:10">
      <c r="B82" s="9" t="s">
        <v>43</v>
      </c>
      <c r="C82" s="63" t="s">
        <v>344</v>
      </c>
      <c r="D82" s="9" t="s">
        <v>43</v>
      </c>
      <c r="E82" s="15" t="s">
        <v>194</v>
      </c>
      <c r="F82" s="15" t="s">
        <v>166</v>
      </c>
      <c r="G82" s="9" t="s">
        <v>43</v>
      </c>
      <c r="H82" s="15" t="s">
        <v>195</v>
      </c>
      <c r="I82" s="15" t="s">
        <v>196</v>
      </c>
    </row>
    <row r="83" spans="2:10" ht="16.5" thickBot="1">
      <c r="B83" s="24" t="s">
        <v>111</v>
      </c>
      <c r="C83" s="221" t="s">
        <v>345</v>
      </c>
      <c r="D83" s="9" t="s">
        <v>36</v>
      </c>
      <c r="E83" s="15" t="s">
        <v>197</v>
      </c>
      <c r="F83" s="15" t="s">
        <v>195</v>
      </c>
      <c r="G83" s="9" t="s">
        <v>36</v>
      </c>
      <c r="H83" s="15" t="s">
        <v>198</v>
      </c>
      <c r="I83" s="15" t="s">
        <v>199</v>
      </c>
    </row>
    <row r="84" spans="2:10" ht="16.5" thickBot="1">
      <c r="B84" s="141"/>
      <c r="D84" s="24" t="s">
        <v>111</v>
      </c>
      <c r="E84" s="154" t="s">
        <v>200</v>
      </c>
      <c r="F84" s="154" t="s">
        <v>201</v>
      </c>
      <c r="G84" s="9" t="s">
        <v>44</v>
      </c>
      <c r="H84" s="15" t="s">
        <v>52</v>
      </c>
      <c r="I84" s="15" t="s">
        <v>187</v>
      </c>
    </row>
    <row r="85" spans="2:10" ht="16.5" thickBot="1">
      <c r="G85" s="24" t="s">
        <v>54</v>
      </c>
      <c r="H85" s="154" t="s">
        <v>202</v>
      </c>
      <c r="I85" s="154" t="s">
        <v>181</v>
      </c>
    </row>
    <row r="86" spans="2:10">
      <c r="B86" s="141"/>
      <c r="C86" s="141"/>
    </row>
    <row r="88" spans="2:10">
      <c r="B88" s="142" t="s">
        <v>203</v>
      </c>
      <c r="C88" s="142"/>
    </row>
    <row r="89" spans="2:10" ht="16.5" thickBot="1">
      <c r="B89" s="142"/>
      <c r="C89" s="142"/>
    </row>
    <row r="90" spans="2:10" ht="16.5" thickBot="1">
      <c r="B90" s="8"/>
      <c r="C90" s="8" t="s">
        <v>332</v>
      </c>
      <c r="D90" s="8"/>
      <c r="E90" s="8" t="s">
        <v>105</v>
      </c>
      <c r="F90" s="8"/>
      <c r="G90" s="8" t="s">
        <v>4</v>
      </c>
      <c r="H90" s="8"/>
      <c r="I90" s="8" t="s">
        <v>5</v>
      </c>
      <c r="J90" s="8"/>
    </row>
    <row r="91" spans="2:10">
      <c r="B91" s="8"/>
      <c r="C91" s="8" t="s">
        <v>204</v>
      </c>
      <c r="D91" s="8" t="s">
        <v>205</v>
      </c>
      <c r="E91" s="8" t="s">
        <v>204</v>
      </c>
      <c r="F91" s="8" t="s">
        <v>205</v>
      </c>
      <c r="G91" s="8" t="s">
        <v>204</v>
      </c>
      <c r="H91" s="8" t="s">
        <v>205</v>
      </c>
      <c r="I91" s="8" t="s">
        <v>204</v>
      </c>
      <c r="J91" s="8" t="s">
        <v>205</v>
      </c>
    </row>
    <row r="92" spans="2:10">
      <c r="B92" s="19" t="s">
        <v>26</v>
      </c>
      <c r="C92" s="222">
        <v>98.4</v>
      </c>
      <c r="D92" s="222">
        <v>1.6</v>
      </c>
      <c r="E92" s="180">
        <v>95.8</v>
      </c>
      <c r="F92" s="180">
        <v>4.2</v>
      </c>
      <c r="G92" s="180">
        <v>98.6</v>
      </c>
      <c r="H92" s="180">
        <v>1.4</v>
      </c>
      <c r="I92" s="180">
        <v>98.6</v>
      </c>
      <c r="J92" s="180">
        <v>1.4</v>
      </c>
    </row>
    <row r="93" spans="2:10">
      <c r="B93" s="9" t="s">
        <v>206</v>
      </c>
      <c r="C93" s="222">
        <v>99.6</v>
      </c>
      <c r="D93" s="222">
        <v>0.4</v>
      </c>
      <c r="E93" s="180">
        <v>96.7</v>
      </c>
      <c r="F93" s="180">
        <v>3.3</v>
      </c>
      <c r="G93" s="180">
        <v>99.1</v>
      </c>
      <c r="H93" s="180">
        <v>0.9</v>
      </c>
      <c r="I93" s="180">
        <v>99.1</v>
      </c>
      <c r="J93" s="180">
        <v>0.9</v>
      </c>
    </row>
    <row r="94" spans="2:10" ht="16.5" thickBot="1">
      <c r="B94" s="24" t="s">
        <v>207</v>
      </c>
      <c r="C94" s="223">
        <v>93.8</v>
      </c>
      <c r="D94" s="223">
        <v>6.2</v>
      </c>
      <c r="E94" s="179">
        <v>92.2</v>
      </c>
      <c r="F94" s="179">
        <v>7.8</v>
      </c>
      <c r="G94" s="179">
        <v>96.5</v>
      </c>
      <c r="H94" s="179">
        <v>3.5</v>
      </c>
      <c r="I94" s="179">
        <v>96.5</v>
      </c>
      <c r="J94" s="179">
        <v>3.5</v>
      </c>
    </row>
    <row r="95" spans="2:10">
      <c r="B95" s="142"/>
      <c r="C95" s="146"/>
      <c r="D95" s="94"/>
    </row>
    <row r="96" spans="2:10" ht="19.5">
      <c r="B96" s="142" t="s">
        <v>208</v>
      </c>
      <c r="C96" s="147"/>
    </row>
    <row r="97" spans="2:10" ht="16.5" thickBot="1">
      <c r="B97" s="142"/>
      <c r="C97" s="142"/>
    </row>
    <row r="98" spans="2:10" ht="16.5" thickBot="1">
      <c r="B98" s="8"/>
      <c r="C98" s="8" t="s">
        <v>332</v>
      </c>
      <c r="D98" s="8"/>
      <c r="E98" s="8" t="s">
        <v>105</v>
      </c>
      <c r="F98" s="8"/>
      <c r="G98" s="8" t="s">
        <v>4</v>
      </c>
      <c r="H98" s="8"/>
      <c r="I98" s="8" t="s">
        <v>5</v>
      </c>
      <c r="J98" s="8"/>
    </row>
    <row r="99" spans="2:10">
      <c r="B99" s="8"/>
      <c r="C99" s="8" t="s">
        <v>209</v>
      </c>
      <c r="D99" s="8" t="s">
        <v>210</v>
      </c>
      <c r="E99" s="8" t="s">
        <v>209</v>
      </c>
      <c r="F99" s="8" t="s">
        <v>210</v>
      </c>
      <c r="G99" s="8" t="s">
        <v>209</v>
      </c>
      <c r="H99" s="8" t="s">
        <v>210</v>
      </c>
      <c r="I99" s="8" t="s">
        <v>209</v>
      </c>
      <c r="J99" s="8" t="s">
        <v>210</v>
      </c>
    </row>
    <row r="100" spans="2:10">
      <c r="B100" s="19" t="s">
        <v>26</v>
      </c>
      <c r="C100" s="180">
        <v>96.3</v>
      </c>
      <c r="D100" s="180">
        <v>3.7</v>
      </c>
      <c r="E100" s="180">
        <v>98.3</v>
      </c>
      <c r="F100" s="180">
        <v>1.7</v>
      </c>
      <c r="G100" s="180">
        <v>98</v>
      </c>
      <c r="H100" s="180">
        <v>2</v>
      </c>
      <c r="I100" s="180">
        <v>98.6</v>
      </c>
      <c r="J100" s="180">
        <v>1.4</v>
      </c>
    </row>
    <row r="101" spans="2:10">
      <c r="B101" s="9" t="s">
        <v>206</v>
      </c>
      <c r="C101" s="180">
        <v>97.2</v>
      </c>
      <c r="D101" s="180">
        <v>2.8</v>
      </c>
      <c r="E101" s="180">
        <v>99.5</v>
      </c>
      <c r="F101" s="180">
        <v>0.5</v>
      </c>
      <c r="G101" s="180">
        <v>99.5</v>
      </c>
      <c r="H101" s="180">
        <v>0.5</v>
      </c>
      <c r="I101" s="180">
        <v>99.6</v>
      </c>
      <c r="J101" s="180">
        <v>0.4</v>
      </c>
    </row>
    <row r="102" spans="2:10" ht="16.5" thickBot="1">
      <c r="B102" s="24" t="s">
        <v>207</v>
      </c>
      <c r="C102" s="179">
        <v>92.9</v>
      </c>
      <c r="D102" s="179">
        <v>7.1</v>
      </c>
      <c r="E102" s="179">
        <v>93.6</v>
      </c>
      <c r="F102" s="179">
        <v>6.4</v>
      </c>
      <c r="G102" s="179">
        <v>92.1</v>
      </c>
      <c r="H102" s="179">
        <v>7.9</v>
      </c>
      <c r="I102" s="179">
        <v>93.9</v>
      </c>
      <c r="J102" s="179">
        <v>6.1</v>
      </c>
    </row>
    <row r="103" spans="2:10">
      <c r="B103" s="142"/>
      <c r="C103" s="146"/>
      <c r="D103" s="94"/>
      <c r="E103" s="94"/>
      <c r="F103" s="94"/>
      <c r="G103" s="94"/>
      <c r="H103" s="94"/>
      <c r="I103" s="94"/>
    </row>
    <row r="104" spans="2:10">
      <c r="B104" s="142" t="s">
        <v>211</v>
      </c>
      <c r="C104" s="146"/>
      <c r="D104" s="94"/>
      <c r="E104" s="94"/>
      <c r="F104" s="94"/>
      <c r="G104" s="94"/>
      <c r="H104" s="94"/>
      <c r="I104" s="94"/>
    </row>
    <row r="105" spans="2:10" ht="16.5" thickBot="1">
      <c r="B105" s="141"/>
      <c r="C105" s="148"/>
      <c r="D105" s="94"/>
      <c r="E105" s="94"/>
      <c r="F105" s="94"/>
      <c r="G105" s="94"/>
      <c r="H105" s="94"/>
      <c r="I105" s="94"/>
    </row>
    <row r="106" spans="2:10">
      <c r="B106" s="49" t="s">
        <v>12</v>
      </c>
      <c r="C106" s="8"/>
      <c r="D106" s="8" t="s">
        <v>212</v>
      </c>
      <c r="E106" s="8" t="s">
        <v>213</v>
      </c>
      <c r="F106" s="8" t="s">
        <v>214</v>
      </c>
      <c r="G106" s="8" t="s">
        <v>215</v>
      </c>
      <c r="H106" s="8" t="s">
        <v>216</v>
      </c>
      <c r="I106" s="8" t="s">
        <v>217</v>
      </c>
    </row>
    <row r="107" spans="2:10">
      <c r="B107" s="19" t="s">
        <v>332</v>
      </c>
      <c r="C107" s="224" t="s">
        <v>26</v>
      </c>
      <c r="D107" s="225">
        <v>19.600000000000001</v>
      </c>
      <c r="E107" s="225">
        <v>15.9</v>
      </c>
      <c r="F107" s="225">
        <v>31.1</v>
      </c>
      <c r="G107" s="225">
        <v>23</v>
      </c>
      <c r="H107" s="225">
        <v>9.6</v>
      </c>
      <c r="I107" s="225">
        <v>0.8</v>
      </c>
    </row>
    <row r="108" spans="2:10">
      <c r="B108" s="19"/>
      <c r="C108" s="226" t="s">
        <v>218</v>
      </c>
      <c r="D108" s="227">
        <v>0.2150158618258724</v>
      </c>
      <c r="E108" s="227">
        <v>0.14839619316179062</v>
      </c>
      <c r="F108" s="227">
        <v>0.30066972153683469</v>
      </c>
      <c r="G108" s="227">
        <v>0.22541416989777935</v>
      </c>
      <c r="H108" s="227">
        <v>0.10081071554458935</v>
      </c>
      <c r="I108" s="227">
        <v>9.6933380331335924E-3</v>
      </c>
    </row>
    <row r="109" spans="2:10">
      <c r="B109" s="19"/>
      <c r="C109" s="226" t="s">
        <v>9</v>
      </c>
      <c r="D109" s="227">
        <v>0.18557607739665788</v>
      </c>
      <c r="E109" s="227">
        <v>0.1693051890941073</v>
      </c>
      <c r="F109" s="227">
        <v>0.3386103781882146</v>
      </c>
      <c r="G109" s="227">
        <v>0.2247141600703606</v>
      </c>
      <c r="H109" s="227">
        <v>7.9595426561125768E-2</v>
      </c>
      <c r="I109" s="227">
        <v>2.1987686895338612E-3</v>
      </c>
    </row>
    <row r="110" spans="2:10" ht="30">
      <c r="B110" s="19"/>
      <c r="C110" s="226" t="s">
        <v>10</v>
      </c>
      <c r="D110" s="227">
        <v>0.17450863609291245</v>
      </c>
      <c r="E110" s="227">
        <v>0.17748659916617035</v>
      </c>
      <c r="F110" s="227">
        <v>0.29720071471113757</v>
      </c>
      <c r="G110" s="227">
        <v>0.23228111971411555</v>
      </c>
      <c r="H110" s="227">
        <v>0.10303752233472305</v>
      </c>
      <c r="I110" s="227">
        <v>1.5485407980941036E-2</v>
      </c>
    </row>
    <row r="111" spans="2:10">
      <c r="B111" s="19"/>
      <c r="C111" s="226" t="s">
        <v>43</v>
      </c>
      <c r="D111" s="227">
        <v>0.20412844036697247</v>
      </c>
      <c r="E111" s="227">
        <v>0.15711009174311927</v>
      </c>
      <c r="F111" s="227">
        <v>0.29472477064220182</v>
      </c>
      <c r="G111" s="227">
        <v>0.23738532110091742</v>
      </c>
      <c r="H111" s="227">
        <v>9.6330275229357804E-2</v>
      </c>
      <c r="I111" s="227">
        <v>1.0321100917431193E-2</v>
      </c>
    </row>
    <row r="112" spans="2:10" ht="16.5" thickBot="1">
      <c r="B112" s="19"/>
      <c r="C112" s="226" t="s">
        <v>111</v>
      </c>
      <c r="D112" s="227">
        <v>0.16313725490196079</v>
      </c>
      <c r="E112" s="227">
        <v>0.14352941176470588</v>
      </c>
      <c r="F112" s="227">
        <v>0.30901960784313726</v>
      </c>
      <c r="G112" s="227">
        <v>0.25019607843137254</v>
      </c>
      <c r="H112" s="227">
        <v>0.12313725490196079</v>
      </c>
      <c r="I112" s="227">
        <v>1.0980392156862745E-2</v>
      </c>
    </row>
    <row r="113" spans="2:9">
      <c r="B113" s="49"/>
      <c r="C113" s="8"/>
      <c r="D113" s="8" t="s">
        <v>212</v>
      </c>
      <c r="E113" s="8" t="s">
        <v>213</v>
      </c>
      <c r="F113" s="8" t="s">
        <v>214</v>
      </c>
      <c r="G113" s="8" t="s">
        <v>215</v>
      </c>
      <c r="H113" s="8" t="s">
        <v>216</v>
      </c>
      <c r="I113" s="8" t="s">
        <v>217</v>
      </c>
    </row>
    <row r="114" spans="2:9">
      <c r="B114" s="19" t="s">
        <v>105</v>
      </c>
      <c r="C114" s="19" t="s">
        <v>26</v>
      </c>
      <c r="D114" s="181">
        <v>20.7</v>
      </c>
      <c r="E114" s="181">
        <v>16.8</v>
      </c>
      <c r="F114" s="181">
        <v>31</v>
      </c>
      <c r="G114" s="181">
        <v>21.9</v>
      </c>
      <c r="H114" s="181">
        <v>8.8000000000000007</v>
      </c>
      <c r="I114" s="181">
        <v>0.7</v>
      </c>
    </row>
    <row r="115" spans="2:9">
      <c r="B115" s="19"/>
      <c r="C115" s="9" t="s">
        <v>218</v>
      </c>
      <c r="D115" s="180">
        <v>23.5</v>
      </c>
      <c r="E115" s="180">
        <v>16.2</v>
      </c>
      <c r="F115" s="180">
        <v>29.3</v>
      </c>
      <c r="G115" s="180">
        <v>21.3</v>
      </c>
      <c r="H115" s="180">
        <v>8.8000000000000007</v>
      </c>
      <c r="I115" s="180">
        <v>0.8</v>
      </c>
    </row>
    <row r="116" spans="2:9">
      <c r="B116" s="19"/>
      <c r="C116" s="9" t="s">
        <v>9</v>
      </c>
      <c r="D116" s="180">
        <v>19.3</v>
      </c>
      <c r="E116" s="180">
        <v>16.899999999999999</v>
      </c>
      <c r="F116" s="180">
        <v>34.5</v>
      </c>
      <c r="G116" s="180">
        <v>21.5</v>
      </c>
      <c r="H116" s="180">
        <v>7.6</v>
      </c>
      <c r="I116" s="180">
        <v>0.2</v>
      </c>
    </row>
    <row r="117" spans="2:9" ht="30">
      <c r="B117" s="19"/>
      <c r="C117" s="9" t="s">
        <v>10</v>
      </c>
      <c r="D117" s="180">
        <v>19.5</v>
      </c>
      <c r="E117" s="180">
        <v>17.5</v>
      </c>
      <c r="F117" s="180">
        <v>27.1</v>
      </c>
      <c r="G117" s="180">
        <v>24</v>
      </c>
      <c r="H117" s="180">
        <v>10.199999999999999</v>
      </c>
      <c r="I117" s="180">
        <v>1.7</v>
      </c>
    </row>
    <row r="118" spans="2:9">
      <c r="B118" s="19"/>
      <c r="C118" s="9" t="s">
        <v>43</v>
      </c>
      <c r="D118" s="180">
        <v>19.3</v>
      </c>
      <c r="E118" s="180">
        <v>17</v>
      </c>
      <c r="F118" s="180">
        <v>29.7</v>
      </c>
      <c r="G118" s="180">
        <v>22.8</v>
      </c>
      <c r="H118" s="180">
        <v>10.1</v>
      </c>
      <c r="I118" s="180">
        <v>1.1000000000000001</v>
      </c>
    </row>
    <row r="119" spans="2:9">
      <c r="B119" s="19"/>
      <c r="C119" s="9" t="s">
        <v>36</v>
      </c>
      <c r="D119" s="180">
        <v>18.7</v>
      </c>
      <c r="E119" s="180">
        <v>21</v>
      </c>
      <c r="F119" s="180">
        <v>30.7</v>
      </c>
      <c r="G119" s="180">
        <v>20.100000000000001</v>
      </c>
      <c r="H119" s="180">
        <v>9</v>
      </c>
      <c r="I119" s="180">
        <v>0.5</v>
      </c>
    </row>
    <row r="120" spans="2:9" ht="16.5" thickBot="1">
      <c r="B120" s="19"/>
      <c r="C120" s="9" t="s">
        <v>111</v>
      </c>
      <c r="D120" s="180">
        <v>11.5</v>
      </c>
      <c r="E120" s="180">
        <v>14.3</v>
      </c>
      <c r="F120" s="180">
        <v>35.799999999999997</v>
      </c>
      <c r="G120" s="180">
        <v>26.9</v>
      </c>
      <c r="H120" s="180">
        <v>10.1</v>
      </c>
      <c r="I120" s="180">
        <v>1.3</v>
      </c>
    </row>
    <row r="121" spans="2:9">
      <c r="B121" s="8"/>
      <c r="C121" s="8"/>
      <c r="D121" s="8" t="s">
        <v>219</v>
      </c>
      <c r="E121" s="8" t="s">
        <v>220</v>
      </c>
      <c r="F121" s="8" t="s">
        <v>214</v>
      </c>
      <c r="G121" s="8" t="s">
        <v>215</v>
      </c>
      <c r="H121" s="8" t="s">
        <v>216</v>
      </c>
      <c r="I121" s="8" t="s">
        <v>217</v>
      </c>
    </row>
    <row r="122" spans="2:9">
      <c r="B122" s="19" t="s">
        <v>4</v>
      </c>
      <c r="C122" s="19" t="s">
        <v>26</v>
      </c>
      <c r="D122" s="181">
        <v>7.6</v>
      </c>
      <c r="E122" s="181">
        <v>29.5</v>
      </c>
      <c r="F122" s="181">
        <v>31.7</v>
      </c>
      <c r="G122" s="181">
        <v>21.8</v>
      </c>
      <c r="H122" s="181">
        <v>8.6</v>
      </c>
      <c r="I122" s="181">
        <v>0.7</v>
      </c>
    </row>
    <row r="123" spans="2:9">
      <c r="B123" s="9"/>
      <c r="C123" s="9" t="s">
        <v>8</v>
      </c>
      <c r="D123" s="180">
        <v>10.3</v>
      </c>
      <c r="E123" s="180">
        <v>29.9</v>
      </c>
      <c r="F123" s="180">
        <v>30.3</v>
      </c>
      <c r="G123" s="180">
        <v>20.399999999999999</v>
      </c>
      <c r="H123" s="180">
        <v>8.4</v>
      </c>
      <c r="I123" s="180">
        <v>0.8</v>
      </c>
    </row>
    <row r="124" spans="2:9">
      <c r="B124" s="9"/>
      <c r="C124" s="9" t="s">
        <v>9</v>
      </c>
      <c r="D124" s="180">
        <v>3.7</v>
      </c>
      <c r="E124" s="180">
        <v>29.1</v>
      </c>
      <c r="F124" s="180">
        <v>36.6</v>
      </c>
      <c r="G124" s="180">
        <v>23.2</v>
      </c>
      <c r="H124" s="180">
        <v>7.2</v>
      </c>
      <c r="I124" s="180">
        <v>0.1</v>
      </c>
    </row>
    <row r="125" spans="2:9" ht="30">
      <c r="B125" s="9"/>
      <c r="C125" s="9" t="s">
        <v>10</v>
      </c>
      <c r="D125" s="180">
        <v>5.8</v>
      </c>
      <c r="E125" s="180">
        <v>27.5</v>
      </c>
      <c r="F125" s="180">
        <v>29.2</v>
      </c>
      <c r="G125" s="180">
        <v>24.8</v>
      </c>
      <c r="H125" s="180">
        <v>11.1</v>
      </c>
      <c r="I125" s="180">
        <v>1.5</v>
      </c>
    </row>
    <row r="126" spans="2:9">
      <c r="B126" s="9"/>
      <c r="C126" s="9" t="s">
        <v>43</v>
      </c>
      <c r="D126" s="180">
        <v>11.2</v>
      </c>
      <c r="E126" s="180">
        <v>30.6</v>
      </c>
      <c r="F126" s="180">
        <v>29.4</v>
      </c>
      <c r="G126" s="180">
        <v>19</v>
      </c>
      <c r="H126" s="180">
        <v>8.6</v>
      </c>
      <c r="I126" s="180">
        <v>1.2</v>
      </c>
    </row>
    <row r="127" spans="2:9">
      <c r="B127" s="9"/>
      <c r="C127" s="9" t="s">
        <v>36</v>
      </c>
      <c r="D127" s="180">
        <v>7.3</v>
      </c>
      <c r="E127" s="180">
        <v>33.6</v>
      </c>
      <c r="F127" s="180">
        <v>28</v>
      </c>
      <c r="G127" s="180">
        <v>21.3</v>
      </c>
      <c r="H127" s="180">
        <v>9.3000000000000007</v>
      </c>
      <c r="I127" s="180">
        <v>0.7</v>
      </c>
    </row>
    <row r="128" spans="2:9" ht="16.5" thickBot="1">
      <c r="B128" s="24"/>
      <c r="C128" s="24" t="s">
        <v>111</v>
      </c>
      <c r="D128" s="179">
        <v>2.7</v>
      </c>
      <c r="E128" s="179">
        <v>21.2</v>
      </c>
      <c r="F128" s="179">
        <v>37.4</v>
      </c>
      <c r="G128" s="179">
        <v>26.1</v>
      </c>
      <c r="H128" s="179">
        <v>11.3</v>
      </c>
      <c r="I128" s="179">
        <v>1.3</v>
      </c>
    </row>
    <row r="129" spans="2:8">
      <c r="B129" s="19" t="s">
        <v>5</v>
      </c>
      <c r="C129" s="19" t="s">
        <v>26</v>
      </c>
      <c r="D129" s="181">
        <v>8.1999999999999993</v>
      </c>
      <c r="E129" s="181">
        <v>30.2</v>
      </c>
      <c r="F129" s="181">
        <v>31.5</v>
      </c>
      <c r="G129" s="181">
        <v>21.1</v>
      </c>
      <c r="H129" s="181">
        <v>8.3000000000000007</v>
      </c>
    </row>
    <row r="130" spans="2:8">
      <c r="B130" s="9"/>
      <c r="C130" s="9" t="s">
        <v>8</v>
      </c>
      <c r="D130" s="180">
        <v>10.7</v>
      </c>
      <c r="E130" s="180">
        <v>30.8</v>
      </c>
      <c r="F130" s="180">
        <v>29.9</v>
      </c>
      <c r="G130" s="180">
        <v>19.899999999999999</v>
      </c>
      <c r="H130" s="180">
        <v>8</v>
      </c>
    </row>
    <row r="131" spans="2:8">
      <c r="B131" s="9"/>
      <c r="C131" s="9" t="s">
        <v>9</v>
      </c>
      <c r="D131" s="180">
        <v>4.4000000000000004</v>
      </c>
      <c r="E131" s="180">
        <v>27.9</v>
      </c>
      <c r="F131" s="180">
        <v>37.9</v>
      </c>
      <c r="G131" s="180">
        <v>22.6</v>
      </c>
      <c r="H131" s="180">
        <v>7.1</v>
      </c>
    </row>
    <row r="132" spans="2:8" ht="30">
      <c r="B132" s="9"/>
      <c r="C132" s="9" t="s">
        <v>10</v>
      </c>
      <c r="D132" s="180">
        <v>6.1</v>
      </c>
      <c r="E132" s="180">
        <v>32.299999999999997</v>
      </c>
      <c r="F132" s="180">
        <v>29.9</v>
      </c>
      <c r="G132" s="180">
        <v>21</v>
      </c>
      <c r="H132" s="180">
        <v>9.5</v>
      </c>
    </row>
    <row r="133" spans="2:8">
      <c r="B133" s="9"/>
      <c r="C133" s="9" t="s">
        <v>43</v>
      </c>
      <c r="D133" s="180">
        <v>8.1999999999999993</v>
      </c>
      <c r="E133" s="180">
        <v>30.9</v>
      </c>
      <c r="F133" s="180">
        <v>30.5</v>
      </c>
      <c r="G133" s="180">
        <v>20.7</v>
      </c>
      <c r="H133" s="180">
        <v>8.4</v>
      </c>
    </row>
    <row r="134" spans="2:8">
      <c r="B134" s="9"/>
      <c r="C134" s="9" t="s">
        <v>36</v>
      </c>
      <c r="D134" s="180">
        <v>6.5</v>
      </c>
      <c r="E134" s="180">
        <v>30.1</v>
      </c>
      <c r="F134" s="180">
        <v>27.9</v>
      </c>
      <c r="G134" s="180">
        <v>23.7</v>
      </c>
      <c r="H134" s="180">
        <v>10.8</v>
      </c>
    </row>
    <row r="135" spans="2:8" ht="16.5" thickBot="1">
      <c r="B135" s="24"/>
      <c r="C135" s="24" t="s">
        <v>54</v>
      </c>
      <c r="D135" s="179">
        <v>2.1</v>
      </c>
      <c r="E135" s="179">
        <v>20.3</v>
      </c>
      <c r="F135" s="179">
        <v>30.8</v>
      </c>
      <c r="G135" s="179">
        <v>29.4</v>
      </c>
      <c r="H135" s="179">
        <v>14.7</v>
      </c>
    </row>
    <row r="136" spans="2:8">
      <c r="B136" s="19" t="s">
        <v>6</v>
      </c>
      <c r="C136" s="19" t="s">
        <v>26</v>
      </c>
      <c r="D136" s="181">
        <v>9.8000000000000007</v>
      </c>
      <c r="E136" s="181">
        <v>30.9</v>
      </c>
      <c r="F136" s="181">
        <v>31</v>
      </c>
      <c r="G136" s="181">
        <v>20</v>
      </c>
      <c r="H136" s="181">
        <v>7.8</v>
      </c>
    </row>
    <row r="137" spans="2:8">
      <c r="B137" s="9"/>
      <c r="C137" s="9" t="s">
        <v>8</v>
      </c>
      <c r="D137" s="180">
        <v>12</v>
      </c>
      <c r="E137" s="180">
        <v>30.5</v>
      </c>
      <c r="F137" s="180">
        <v>29.1</v>
      </c>
      <c r="G137" s="180">
        <v>20.100000000000001</v>
      </c>
      <c r="H137" s="180">
        <v>7.8</v>
      </c>
    </row>
    <row r="138" spans="2:8">
      <c r="B138" s="9"/>
      <c r="C138" s="9" t="s">
        <v>9</v>
      </c>
      <c r="D138" s="180">
        <v>3</v>
      </c>
      <c r="E138" s="180">
        <v>29.1</v>
      </c>
      <c r="F138" s="180">
        <v>40.200000000000003</v>
      </c>
      <c r="G138" s="180">
        <v>21</v>
      </c>
      <c r="H138" s="180">
        <v>6.6</v>
      </c>
    </row>
    <row r="139" spans="2:8" ht="30">
      <c r="B139" s="9"/>
      <c r="C139" s="9" t="s">
        <v>10</v>
      </c>
      <c r="D139" s="180">
        <v>7.9</v>
      </c>
      <c r="E139" s="180">
        <v>34</v>
      </c>
      <c r="F139" s="180">
        <v>28.8</v>
      </c>
      <c r="G139" s="180">
        <v>19.3</v>
      </c>
      <c r="H139" s="180">
        <v>9.1</v>
      </c>
    </row>
    <row r="140" spans="2:8">
      <c r="B140" s="9"/>
      <c r="C140" s="9" t="s">
        <v>43</v>
      </c>
      <c r="D140" s="180">
        <v>10</v>
      </c>
      <c r="E140" s="180">
        <v>30.4</v>
      </c>
      <c r="F140" s="180">
        <v>31.6</v>
      </c>
      <c r="G140" s="180">
        <v>20</v>
      </c>
      <c r="H140" s="180">
        <v>7.1</v>
      </c>
    </row>
    <row r="141" spans="2:8">
      <c r="B141" s="9"/>
      <c r="C141" s="9" t="s">
        <v>36</v>
      </c>
      <c r="D141" s="180">
        <v>5.7</v>
      </c>
      <c r="E141" s="180">
        <v>31.3</v>
      </c>
      <c r="F141" s="180">
        <v>30.1</v>
      </c>
      <c r="G141" s="180">
        <v>22.6</v>
      </c>
      <c r="H141" s="180">
        <v>10</v>
      </c>
    </row>
    <row r="142" spans="2:8">
      <c r="B142" s="9"/>
      <c r="C142" s="9" t="s">
        <v>44</v>
      </c>
      <c r="D142" s="180">
        <v>12.8</v>
      </c>
      <c r="E142" s="180">
        <v>32.299999999999997</v>
      </c>
      <c r="F142" s="180">
        <v>28.5</v>
      </c>
      <c r="G142" s="180">
        <v>18.2</v>
      </c>
      <c r="H142" s="180">
        <v>7.5</v>
      </c>
    </row>
    <row r="143" spans="2:8" ht="16.5" thickBot="1">
      <c r="B143" s="24"/>
      <c r="C143" s="24" t="s">
        <v>54</v>
      </c>
      <c r="D143" s="179">
        <v>2.6</v>
      </c>
      <c r="E143" s="179">
        <v>19.5</v>
      </c>
      <c r="F143" s="179">
        <v>35.1</v>
      </c>
      <c r="G143" s="179">
        <v>30.5</v>
      </c>
      <c r="H143" s="179">
        <v>11.9</v>
      </c>
    </row>
    <row r="144" spans="2:8">
      <c r="B144" s="141"/>
      <c r="C144" s="141"/>
    </row>
    <row r="145" spans="2:7">
      <c r="B145" s="142" t="s">
        <v>221</v>
      </c>
      <c r="C145" s="142"/>
    </row>
    <row r="146" spans="2:7" ht="16.5" thickBot="1">
      <c r="B146" s="141"/>
      <c r="C146" s="141"/>
    </row>
    <row r="147" spans="2:7">
      <c r="B147" s="8"/>
      <c r="C147" s="8" t="s">
        <v>332</v>
      </c>
      <c r="D147" s="8" t="s">
        <v>105</v>
      </c>
      <c r="E147" s="8" t="s">
        <v>4</v>
      </c>
      <c r="F147" s="8" t="s">
        <v>5</v>
      </c>
      <c r="G147" s="8" t="s">
        <v>6</v>
      </c>
    </row>
    <row r="148" spans="2:7" ht="30">
      <c r="B148" s="19" t="s">
        <v>26</v>
      </c>
      <c r="C148" s="225" t="s">
        <v>346</v>
      </c>
      <c r="D148" s="181" t="s">
        <v>283</v>
      </c>
      <c r="E148" s="181" t="s">
        <v>222</v>
      </c>
      <c r="F148" s="181" t="s">
        <v>223</v>
      </c>
      <c r="G148" s="181" t="s">
        <v>224</v>
      </c>
    </row>
    <row r="149" spans="2:7" ht="30">
      <c r="B149" s="9" t="s">
        <v>225</v>
      </c>
      <c r="C149" s="222" t="s">
        <v>347</v>
      </c>
      <c r="D149" s="180" t="s">
        <v>226</v>
      </c>
      <c r="E149" s="180" t="s">
        <v>227</v>
      </c>
      <c r="F149" s="180" t="s">
        <v>223</v>
      </c>
      <c r="G149" s="180" t="s">
        <v>228</v>
      </c>
    </row>
    <row r="150" spans="2:7" ht="30.75" thickBot="1">
      <c r="B150" s="24" t="s">
        <v>229</v>
      </c>
      <c r="C150" s="228" t="s">
        <v>348</v>
      </c>
      <c r="D150" s="179" t="s">
        <v>230</v>
      </c>
      <c r="E150" s="179" t="s">
        <v>231</v>
      </c>
      <c r="F150" s="179" t="s">
        <v>232</v>
      </c>
      <c r="G150" s="179" t="s">
        <v>233</v>
      </c>
    </row>
    <row r="151" spans="2:7">
      <c r="B151" s="141"/>
      <c r="C151" s="141"/>
    </row>
    <row r="152" spans="2:7">
      <c r="B152" s="142" t="s">
        <v>234</v>
      </c>
      <c r="C152" s="142"/>
    </row>
    <row r="153" spans="2:7" ht="16.5" thickBot="1">
      <c r="B153" s="141"/>
      <c r="C153" s="141"/>
    </row>
    <row r="154" spans="2:7">
      <c r="B154" s="8"/>
      <c r="C154" s="8" t="s">
        <v>332</v>
      </c>
      <c r="D154" s="8" t="s">
        <v>105</v>
      </c>
      <c r="E154" s="8" t="s">
        <v>235</v>
      </c>
      <c r="F154" s="8" t="s">
        <v>5</v>
      </c>
      <c r="G154" s="8" t="s">
        <v>6</v>
      </c>
    </row>
    <row r="155" spans="2:7">
      <c r="B155" s="19" t="s">
        <v>26</v>
      </c>
      <c r="C155" s="41">
        <f>81/13797*100</f>
        <v>0.58708414872798431</v>
      </c>
      <c r="D155" s="41">
        <f>(102/14996)*100</f>
        <v>0.6801813817017871</v>
      </c>
      <c r="E155" s="41">
        <v>1.3</v>
      </c>
      <c r="F155" s="41">
        <v>1.8</v>
      </c>
      <c r="G155" s="41">
        <v>2.31</v>
      </c>
    </row>
    <row r="156" spans="2:7">
      <c r="B156" s="9" t="s">
        <v>206</v>
      </c>
      <c r="C156" s="36">
        <f>64/11000*100</f>
        <v>0.58181818181818179</v>
      </c>
      <c r="D156" s="36">
        <f>(17/12021)*100</f>
        <v>0.14141918309624824</v>
      </c>
      <c r="E156" s="36">
        <v>0.4</v>
      </c>
      <c r="F156" s="36">
        <v>1</v>
      </c>
      <c r="G156" s="36">
        <v>1.21</v>
      </c>
    </row>
    <row r="157" spans="2:7" ht="16.5" thickBot="1">
      <c r="B157" s="24" t="s">
        <v>207</v>
      </c>
      <c r="C157" s="182">
        <f>17/2797*100</f>
        <v>0.60779406506971756</v>
      </c>
      <c r="D157" s="182">
        <f>(85/2966)*100</f>
        <v>2.8658125421443024</v>
      </c>
      <c r="E157" s="182">
        <v>5.6</v>
      </c>
      <c r="F157" s="182">
        <v>5.5</v>
      </c>
      <c r="G157" s="182">
        <v>5.93</v>
      </c>
    </row>
    <row r="158" spans="2:7">
      <c r="B158" s="141"/>
      <c r="C158" s="148"/>
    </row>
    <row r="159" spans="2:7">
      <c r="B159" s="142" t="s">
        <v>236</v>
      </c>
      <c r="C159" s="146"/>
    </row>
    <row r="160" spans="2:7" ht="16.5" thickBot="1">
      <c r="B160" s="141"/>
      <c r="C160" s="148"/>
    </row>
    <row r="161" spans="2:9">
      <c r="B161" s="8"/>
      <c r="C161" s="8" t="s">
        <v>332</v>
      </c>
      <c r="D161" s="8" t="s">
        <v>105</v>
      </c>
      <c r="E161" s="8" t="s">
        <v>4</v>
      </c>
    </row>
    <row r="162" spans="2:9">
      <c r="B162" s="19" t="s">
        <v>26</v>
      </c>
      <c r="C162" s="229">
        <v>0.25900000000000001</v>
      </c>
      <c r="D162" s="174">
        <f>46/102</f>
        <v>0.45098039215686275</v>
      </c>
      <c r="E162" s="174">
        <v>0.745</v>
      </c>
    </row>
    <row r="163" spans="2:9">
      <c r="B163" s="9" t="s">
        <v>206</v>
      </c>
      <c r="C163" s="227">
        <v>4.7E-2</v>
      </c>
      <c r="D163" s="183">
        <f>34/17</f>
        <v>2</v>
      </c>
      <c r="E163" s="183">
        <v>1</v>
      </c>
      <c r="F163" s="149"/>
    </row>
    <row r="164" spans="2:9" ht="16.5" thickBot="1">
      <c r="B164" s="24" t="s">
        <v>207</v>
      </c>
      <c r="C164" s="230">
        <v>1</v>
      </c>
      <c r="D164" s="184">
        <f>12/85</f>
        <v>0.14117647058823529</v>
      </c>
      <c r="E164" s="184">
        <v>0.65</v>
      </c>
    </row>
    <row r="165" spans="2:9">
      <c r="B165" s="141"/>
      <c r="C165" s="141"/>
    </row>
    <row r="166" spans="2:9">
      <c r="B166" s="141"/>
      <c r="C166" s="141"/>
    </row>
    <row r="167" spans="2:9">
      <c r="B167" s="142" t="s">
        <v>237</v>
      </c>
      <c r="C167" s="142"/>
    </row>
    <row r="168" spans="2:9" ht="16.5" thickBot="1">
      <c r="B168" s="141"/>
      <c r="C168" s="141"/>
    </row>
    <row r="169" spans="2:9">
      <c r="B169" s="8"/>
      <c r="C169" s="8" t="s">
        <v>332</v>
      </c>
      <c r="D169" s="8" t="s">
        <v>105</v>
      </c>
      <c r="E169" s="8" t="s">
        <v>4</v>
      </c>
      <c r="F169" s="8" t="s">
        <v>5</v>
      </c>
      <c r="G169" s="8" t="s">
        <v>6</v>
      </c>
    </row>
    <row r="170" spans="2:9">
      <c r="B170" s="19" t="s">
        <v>26</v>
      </c>
      <c r="C170" s="41">
        <f>21/13797*100</f>
        <v>0.15220700152207001</v>
      </c>
      <c r="D170" s="41">
        <f>(46/14496)*100</f>
        <v>0.31732891832229582</v>
      </c>
      <c r="E170" s="41">
        <v>0.8</v>
      </c>
      <c r="F170" s="41">
        <v>1.5</v>
      </c>
      <c r="G170" s="41">
        <v>1.88</v>
      </c>
    </row>
    <row r="171" spans="2:9">
      <c r="B171" s="185" t="s">
        <v>206</v>
      </c>
      <c r="C171" s="185">
        <f>3/11000*100</f>
        <v>2.7272727272727275E-2</v>
      </c>
      <c r="D171" s="185">
        <f>(34/12021)*100</f>
        <v>0.28283836619249647</v>
      </c>
      <c r="E171" s="185">
        <v>0.4</v>
      </c>
      <c r="F171" s="185">
        <v>1</v>
      </c>
      <c r="G171" s="185">
        <v>1.21</v>
      </c>
    </row>
    <row r="172" spans="2:9" ht="16.5" thickBot="1">
      <c r="B172" s="24" t="s">
        <v>207</v>
      </c>
      <c r="C172" s="182">
        <f>0.00643546657132642*100</f>
        <v>0.64354665713264203</v>
      </c>
      <c r="D172" s="182">
        <f>(12/2966)*100</f>
        <v>0.40458530006743088</v>
      </c>
      <c r="E172" s="182">
        <v>1.9</v>
      </c>
      <c r="F172" s="182">
        <v>3.6</v>
      </c>
      <c r="G172" s="182">
        <v>4.07</v>
      </c>
    </row>
    <row r="173" spans="2:9">
      <c r="B173" s="141"/>
      <c r="C173" s="148"/>
    </row>
    <row r="174" spans="2:9">
      <c r="B174" s="142" t="s">
        <v>238</v>
      </c>
      <c r="C174" s="142"/>
    </row>
    <row r="175" spans="2:9" ht="16.5" thickBot="1">
      <c r="B175" s="142"/>
      <c r="C175" s="142"/>
    </row>
    <row r="176" spans="2:9">
      <c r="B176" s="8"/>
      <c r="C176" s="8" t="s">
        <v>332</v>
      </c>
      <c r="D176" s="8"/>
      <c r="E176" s="8" t="s">
        <v>105</v>
      </c>
      <c r="F176" s="8" t="s">
        <v>4</v>
      </c>
      <c r="G176" s="8"/>
      <c r="H176" s="8" t="s">
        <v>5</v>
      </c>
      <c r="I176" s="8" t="s">
        <v>6</v>
      </c>
    </row>
    <row r="177" spans="2:10">
      <c r="B177" s="224" t="s">
        <v>26</v>
      </c>
      <c r="C177" s="231">
        <v>32.299999999999997</v>
      </c>
      <c r="D177" s="19" t="s">
        <v>26</v>
      </c>
      <c r="E177" s="186">
        <v>31.6</v>
      </c>
      <c r="F177" s="186">
        <v>29.3</v>
      </c>
      <c r="G177" s="19" t="s">
        <v>26</v>
      </c>
      <c r="H177" s="186">
        <v>26.2</v>
      </c>
      <c r="I177" s="186">
        <v>20.8</v>
      </c>
      <c r="J177" s="112"/>
    </row>
    <row r="178" spans="2:10" ht="30">
      <c r="B178" s="226" t="s">
        <v>8</v>
      </c>
      <c r="C178" s="232">
        <v>63.5</v>
      </c>
      <c r="D178" s="9" t="s">
        <v>8</v>
      </c>
      <c r="E178" s="189">
        <v>64.5</v>
      </c>
      <c r="F178" s="189">
        <v>52.8</v>
      </c>
      <c r="G178" s="9" t="s">
        <v>8</v>
      </c>
      <c r="H178" s="187">
        <v>45.5</v>
      </c>
      <c r="I178" s="187">
        <v>43.1</v>
      </c>
    </row>
    <row r="179" spans="2:10">
      <c r="B179" s="226" t="s">
        <v>9</v>
      </c>
      <c r="C179" s="232">
        <v>7.2</v>
      </c>
      <c r="D179" s="9" t="s">
        <v>9</v>
      </c>
      <c r="E179" s="189">
        <v>6.9</v>
      </c>
      <c r="F179" s="189">
        <v>7.2</v>
      </c>
      <c r="G179" s="9" t="s">
        <v>9</v>
      </c>
      <c r="H179" s="187">
        <v>5.3</v>
      </c>
      <c r="I179" s="187">
        <v>4.9000000000000004</v>
      </c>
    </row>
    <row r="180" spans="2:10" ht="30">
      <c r="B180" s="226" t="s">
        <v>10</v>
      </c>
      <c r="C180" s="232">
        <v>14.2</v>
      </c>
      <c r="D180" s="9" t="s">
        <v>10</v>
      </c>
      <c r="E180" s="189">
        <v>11.6</v>
      </c>
      <c r="F180" s="189">
        <v>10.5</v>
      </c>
      <c r="G180" s="9" t="s">
        <v>10</v>
      </c>
      <c r="H180" s="187">
        <v>14.9</v>
      </c>
      <c r="I180" s="187">
        <v>6.1</v>
      </c>
    </row>
    <row r="181" spans="2:10">
      <c r="B181" s="226" t="s">
        <v>43</v>
      </c>
      <c r="C181" s="232">
        <v>11.2</v>
      </c>
      <c r="D181" s="9" t="s">
        <v>43</v>
      </c>
      <c r="E181" s="189">
        <v>15.4</v>
      </c>
      <c r="F181" s="189">
        <v>18.3</v>
      </c>
      <c r="G181" s="9" t="s">
        <v>43</v>
      </c>
      <c r="H181" s="187">
        <v>12.5</v>
      </c>
      <c r="I181" s="187">
        <v>10.8</v>
      </c>
    </row>
    <row r="182" spans="2:10" ht="16.5" thickBot="1">
      <c r="B182" s="233" t="s">
        <v>354</v>
      </c>
      <c r="C182" s="234">
        <v>32.299999999999997</v>
      </c>
      <c r="D182" s="9" t="s">
        <v>36</v>
      </c>
      <c r="E182" s="189">
        <v>13.5</v>
      </c>
      <c r="F182" s="189">
        <v>7.7</v>
      </c>
      <c r="G182" s="9" t="s">
        <v>36</v>
      </c>
      <c r="H182" s="187">
        <v>6.6</v>
      </c>
      <c r="I182" s="187">
        <v>8.1</v>
      </c>
    </row>
    <row r="183" spans="2:10" ht="16.5" thickBot="1">
      <c r="D183" s="24" t="s">
        <v>111</v>
      </c>
      <c r="E183" s="188">
        <v>10.6</v>
      </c>
      <c r="F183" s="188">
        <v>9</v>
      </c>
      <c r="G183" s="9" t="s">
        <v>44</v>
      </c>
      <c r="H183" s="187" t="s">
        <v>52</v>
      </c>
      <c r="I183" s="187">
        <v>5.8</v>
      </c>
    </row>
    <row r="184" spans="2:10" ht="16.5" thickBot="1">
      <c r="B184" s="141"/>
      <c r="C184" s="94"/>
      <c r="D184" s="94"/>
      <c r="E184" s="94"/>
      <c r="F184" s="145"/>
      <c r="G184" s="24" t="s">
        <v>54</v>
      </c>
      <c r="H184" s="188">
        <v>3.1</v>
      </c>
      <c r="I184" s="188">
        <v>10.3</v>
      </c>
    </row>
    <row r="185" spans="2:10">
      <c r="B185" s="141"/>
      <c r="C185" s="141"/>
    </row>
    <row r="186" spans="2:10">
      <c r="B186" s="142" t="s">
        <v>321</v>
      </c>
      <c r="C186" s="142"/>
    </row>
    <row r="187" spans="2:10" ht="16.5" thickBot="1">
      <c r="B187" s="142"/>
      <c r="C187" s="142"/>
    </row>
    <row r="188" spans="2:10" ht="16.5" thickBot="1">
      <c r="B188" s="8"/>
      <c r="C188" s="191" t="s">
        <v>332</v>
      </c>
      <c r="D188" s="8"/>
      <c r="E188" s="191" t="s">
        <v>324</v>
      </c>
      <c r="F188" s="69"/>
      <c r="G188" s="69"/>
      <c r="H188" s="69"/>
      <c r="I188" s="69"/>
      <c r="J188" s="69"/>
    </row>
    <row r="189" spans="2:10">
      <c r="B189" s="19" t="s">
        <v>26</v>
      </c>
      <c r="C189" s="235">
        <v>6388</v>
      </c>
      <c r="D189" s="19" t="s">
        <v>26</v>
      </c>
      <c r="E189" s="10">
        <v>8227</v>
      </c>
      <c r="F189" s="217"/>
      <c r="G189" s="119"/>
      <c r="H189" s="201"/>
      <c r="I189" s="201"/>
      <c r="J189" s="201"/>
    </row>
    <row r="190" spans="2:10" ht="30">
      <c r="B190" s="9" t="s">
        <v>8</v>
      </c>
      <c r="C190" s="236">
        <v>4701</v>
      </c>
      <c r="D190" s="9" t="s">
        <v>8</v>
      </c>
      <c r="E190" s="205">
        <v>6151</v>
      </c>
      <c r="F190" s="202"/>
      <c r="G190" s="58"/>
      <c r="H190" s="203"/>
      <c r="I190" s="203"/>
      <c r="J190" s="203"/>
    </row>
    <row r="191" spans="2:10">
      <c r="B191" s="9" t="s">
        <v>9</v>
      </c>
      <c r="C191" s="236">
        <v>709</v>
      </c>
      <c r="D191" s="9" t="s">
        <v>9</v>
      </c>
      <c r="E191" s="205">
        <v>1007</v>
      </c>
      <c r="F191" s="202"/>
      <c r="G191" s="58"/>
      <c r="H191" s="203"/>
      <c r="I191" s="203"/>
      <c r="J191" s="203"/>
    </row>
    <row r="192" spans="2:10" ht="30">
      <c r="B192" s="9" t="s">
        <v>10</v>
      </c>
      <c r="C192" s="236">
        <v>261</v>
      </c>
      <c r="D192" s="9" t="s">
        <v>10</v>
      </c>
      <c r="E192" s="205">
        <v>336</v>
      </c>
      <c r="F192" s="202"/>
      <c r="G192" s="58"/>
      <c r="H192" s="203"/>
      <c r="I192" s="203"/>
      <c r="J192" s="203"/>
    </row>
    <row r="193" spans="2:10">
      <c r="B193" s="9" t="s">
        <v>43</v>
      </c>
      <c r="C193" s="236">
        <v>421</v>
      </c>
      <c r="D193" s="9" t="s">
        <v>43</v>
      </c>
      <c r="E193" s="205">
        <v>249</v>
      </c>
      <c r="F193" s="202"/>
      <c r="G193" s="58"/>
      <c r="H193" s="203"/>
      <c r="I193" s="203"/>
      <c r="J193" s="203"/>
    </row>
    <row r="194" spans="2:10" ht="16.5" thickBot="1">
      <c r="B194" s="24" t="s">
        <v>111</v>
      </c>
      <c r="C194" s="237">
        <v>296</v>
      </c>
      <c r="D194" s="9" t="s">
        <v>36</v>
      </c>
      <c r="E194" s="205">
        <v>333</v>
      </c>
      <c r="F194" s="202"/>
      <c r="G194" s="58"/>
      <c r="H194" s="203"/>
      <c r="I194" s="203"/>
      <c r="J194" s="203"/>
    </row>
    <row r="195" spans="2:10" ht="16.5" thickBot="1">
      <c r="D195" s="24" t="s">
        <v>111</v>
      </c>
      <c r="E195" s="154">
        <v>151</v>
      </c>
      <c r="F195" s="204"/>
      <c r="G195" s="58"/>
      <c r="H195" s="203"/>
      <c r="I195" s="203"/>
      <c r="J195" s="203"/>
    </row>
    <row r="196" spans="2:10">
      <c r="D196" s="190"/>
      <c r="E196" s="58"/>
      <c r="F196" s="204"/>
      <c r="G196" s="204"/>
      <c r="H196" s="204"/>
    </row>
    <row r="197" spans="2:10">
      <c r="B197" s="142" t="s">
        <v>322</v>
      </c>
      <c r="C197" s="142"/>
    </row>
    <row r="198" spans="2:10" ht="16.5" thickBot="1">
      <c r="B198" s="142"/>
      <c r="C198" s="142"/>
    </row>
    <row r="199" spans="2:10">
      <c r="B199" s="8"/>
      <c r="C199" s="8" t="s">
        <v>332</v>
      </c>
      <c r="D199" s="8" t="s">
        <v>105</v>
      </c>
      <c r="E199" s="69"/>
    </row>
    <row r="200" spans="2:10">
      <c r="B200" s="185" t="s">
        <v>206</v>
      </c>
      <c r="C200" s="238">
        <v>0.89214151534126485</v>
      </c>
      <c r="D200" s="206">
        <v>0.90500000000000003</v>
      </c>
      <c r="E200" s="217"/>
      <c r="F200" s="113"/>
    </row>
    <row r="201" spans="2:10" ht="16.5" thickBot="1">
      <c r="B201" s="24" t="s">
        <v>207</v>
      </c>
      <c r="C201" s="239">
        <v>0.10785848465873513</v>
      </c>
      <c r="D201" s="196">
        <v>9.5000000000000001E-2</v>
      </c>
      <c r="E201" s="145"/>
      <c r="F201" s="113"/>
    </row>
    <row r="202" spans="2:10">
      <c r="B202" s="141"/>
      <c r="C202" s="141"/>
    </row>
    <row r="203" spans="2:10">
      <c r="B203" s="142" t="s">
        <v>323</v>
      </c>
      <c r="C203" s="146"/>
      <c r="D203" s="94"/>
      <c r="E203" s="94"/>
      <c r="F203" s="94"/>
      <c r="G203" s="94"/>
      <c r="H203" s="94"/>
      <c r="I203" s="94"/>
    </row>
    <row r="204" spans="2:10" ht="16.5" thickBot="1">
      <c r="B204" s="141"/>
      <c r="C204" s="148"/>
      <c r="D204" s="94"/>
      <c r="E204" s="94"/>
      <c r="F204" s="94"/>
      <c r="G204" s="94"/>
      <c r="H204" s="94"/>
      <c r="I204" s="94"/>
    </row>
    <row r="205" spans="2:10">
      <c r="B205" s="49" t="s">
        <v>12</v>
      </c>
      <c r="C205" s="8" t="s">
        <v>212</v>
      </c>
      <c r="D205" s="8" t="s">
        <v>213</v>
      </c>
      <c r="E205" s="8" t="s">
        <v>214</v>
      </c>
      <c r="F205" s="8" t="s">
        <v>215</v>
      </c>
      <c r="G205" s="8" t="s">
        <v>216</v>
      </c>
      <c r="H205" s="8" t="s">
        <v>217</v>
      </c>
      <c r="I205" s="94"/>
    </row>
    <row r="206" spans="2:10" ht="16.5" thickBot="1">
      <c r="B206" s="27" t="s">
        <v>332</v>
      </c>
      <c r="C206" s="238">
        <v>0.43706950532247962</v>
      </c>
      <c r="D206" s="238">
        <v>0.18237319974953037</v>
      </c>
      <c r="E206" s="238">
        <v>0.22730118973074515</v>
      </c>
      <c r="F206" s="238">
        <v>0.11693800876643706</v>
      </c>
      <c r="G206" s="238">
        <v>3.3656856606136508E-2</v>
      </c>
      <c r="H206" s="238">
        <v>2.6612398246712585E-3</v>
      </c>
      <c r="I206" s="217"/>
    </row>
    <row r="207" spans="2:10">
      <c r="B207" s="49"/>
      <c r="C207" s="8" t="s">
        <v>212</v>
      </c>
      <c r="D207" s="8" t="s">
        <v>213</v>
      </c>
      <c r="E207" s="8" t="s">
        <v>214</v>
      </c>
      <c r="F207" s="8" t="s">
        <v>215</v>
      </c>
      <c r="G207" s="8" t="s">
        <v>216</v>
      </c>
      <c r="H207" s="8" t="s">
        <v>217</v>
      </c>
    </row>
    <row r="208" spans="2:10" ht="16.5" thickBot="1">
      <c r="B208" s="27" t="s">
        <v>105</v>
      </c>
      <c r="C208" s="207">
        <v>0.46899999999999997</v>
      </c>
      <c r="D208" s="207">
        <v>0.17499999999999999</v>
      </c>
      <c r="E208" s="207">
        <v>0.219</v>
      </c>
      <c r="F208" s="207">
        <v>0.108</v>
      </c>
      <c r="G208" s="207">
        <v>2.7E-2</v>
      </c>
      <c r="H208" s="207">
        <v>2E-3</v>
      </c>
      <c r="I208" s="208"/>
    </row>
    <row r="209" spans="2:7">
      <c r="B209" s="141"/>
      <c r="C209" s="141"/>
    </row>
    <row r="211" spans="2:7">
      <c r="B211" s="4" t="s">
        <v>239</v>
      </c>
      <c r="C211" s="4"/>
    </row>
    <row r="212" spans="2:7" ht="16.5" thickBot="1">
      <c r="B212" s="141"/>
      <c r="C212" s="141"/>
    </row>
    <row r="213" spans="2:7">
      <c r="B213" s="8"/>
      <c r="C213" s="8" t="s">
        <v>332</v>
      </c>
      <c r="D213" s="8" t="s">
        <v>105</v>
      </c>
      <c r="E213" s="8" t="s">
        <v>4</v>
      </c>
      <c r="F213" s="8" t="s">
        <v>5</v>
      </c>
      <c r="G213" s="8" t="s">
        <v>6</v>
      </c>
    </row>
    <row r="214" spans="2:7" ht="60">
      <c r="B214" s="185" t="s">
        <v>240</v>
      </c>
      <c r="C214" s="255">
        <v>0.92</v>
      </c>
      <c r="D214" s="66">
        <v>0.94</v>
      </c>
      <c r="E214" s="66">
        <v>0.93</v>
      </c>
      <c r="F214" s="66">
        <v>0.9</v>
      </c>
      <c r="G214" s="66">
        <v>0.92</v>
      </c>
    </row>
    <row r="215" spans="2:7" ht="45">
      <c r="B215" s="9" t="s">
        <v>241</v>
      </c>
      <c r="C215" s="255">
        <v>0.72</v>
      </c>
      <c r="D215" s="66">
        <v>0.72</v>
      </c>
      <c r="E215" s="66">
        <v>0.72</v>
      </c>
      <c r="F215" s="66">
        <v>0.7</v>
      </c>
      <c r="G215" s="66">
        <v>0.68</v>
      </c>
    </row>
    <row r="216" spans="2:7" ht="120.75" thickBot="1">
      <c r="B216" s="24" t="s">
        <v>242</v>
      </c>
      <c r="C216" s="256">
        <v>0.69</v>
      </c>
      <c r="D216" s="192">
        <v>0.69</v>
      </c>
      <c r="E216" s="192">
        <v>0.67</v>
      </c>
      <c r="F216" s="192">
        <v>0.67</v>
      </c>
      <c r="G216" s="192" t="s">
        <v>243</v>
      </c>
    </row>
    <row r="217" spans="2:7">
      <c r="B217" s="141"/>
      <c r="C217" s="141"/>
    </row>
    <row r="218" spans="2:7">
      <c r="B218" s="150"/>
      <c r="C218" s="150"/>
    </row>
    <row r="219" spans="2:7">
      <c r="B219" s="142" t="s">
        <v>244</v>
      </c>
      <c r="C219" s="142"/>
    </row>
    <row r="220" spans="2:7" ht="16.5" thickBot="1">
      <c r="B220" s="141"/>
      <c r="C220" s="141"/>
    </row>
    <row r="221" spans="2:7">
      <c r="B221" s="8"/>
      <c r="C221" s="8" t="s">
        <v>332</v>
      </c>
      <c r="D221" s="8" t="s">
        <v>105</v>
      </c>
      <c r="E221" s="8" t="s">
        <v>4</v>
      </c>
      <c r="F221" s="8" t="s">
        <v>5</v>
      </c>
      <c r="G221" s="8" t="s">
        <v>6</v>
      </c>
    </row>
    <row r="222" spans="2:7" ht="45.75" thickBot="1">
      <c r="B222" s="24" t="s">
        <v>245</v>
      </c>
      <c r="C222" s="192" t="s">
        <v>350</v>
      </c>
      <c r="D222" s="192" t="s">
        <v>246</v>
      </c>
      <c r="E222" s="192" t="s">
        <v>247</v>
      </c>
      <c r="F222" s="192" t="s">
        <v>248</v>
      </c>
      <c r="G222" s="192" t="s">
        <v>249</v>
      </c>
    </row>
    <row r="223" spans="2:7">
      <c r="B223" s="141"/>
      <c r="C223" s="141"/>
    </row>
    <row r="224" spans="2:7">
      <c r="B224" s="142" t="s">
        <v>250</v>
      </c>
      <c r="C224" s="142"/>
    </row>
    <row r="225" spans="2:9" ht="16.5" thickBot="1">
      <c r="B225" s="142"/>
      <c r="C225" s="142"/>
    </row>
    <row r="226" spans="2:9">
      <c r="B226" s="8"/>
      <c r="C226" s="8" t="s">
        <v>332</v>
      </c>
      <c r="D226" s="8" t="s">
        <v>105</v>
      </c>
      <c r="E226" s="191" t="s">
        <v>251</v>
      </c>
      <c r="F226" s="116"/>
      <c r="G226" s="69"/>
      <c r="H226" s="193"/>
      <c r="I226" s="142"/>
    </row>
    <row r="227" spans="2:9">
      <c r="B227" s="185" t="s">
        <v>206</v>
      </c>
      <c r="C227" s="219">
        <v>0.92500000000000004</v>
      </c>
      <c r="D227" s="195">
        <v>0.95899999999999996</v>
      </c>
      <c r="E227" s="195">
        <v>0.95599999999999996</v>
      </c>
      <c r="F227" s="190"/>
      <c r="G227" s="190"/>
      <c r="H227" s="194"/>
      <c r="I227" s="141"/>
    </row>
    <row r="228" spans="2:9" ht="16.5" thickBot="1">
      <c r="B228" s="24" t="s">
        <v>207</v>
      </c>
      <c r="C228" s="220">
        <v>7.4999999999999997E-2</v>
      </c>
      <c r="D228" s="196">
        <v>4.1000000000000002E-2</v>
      </c>
      <c r="E228" s="196">
        <v>4.3999999999999997E-2</v>
      </c>
      <c r="F228" s="116"/>
      <c r="G228" s="116"/>
      <c r="H228" s="116"/>
      <c r="I228" s="142"/>
    </row>
    <row r="229" spans="2:9">
      <c r="B229" s="145"/>
      <c r="C229" s="145"/>
      <c r="D229" s="145"/>
      <c r="E229" s="142"/>
      <c r="F229" s="142"/>
    </row>
    <row r="230" spans="2:9">
      <c r="B230" s="142" t="s">
        <v>252</v>
      </c>
      <c r="C230" s="145"/>
      <c r="D230" s="145"/>
      <c r="E230" s="142"/>
      <c r="F230" s="142"/>
    </row>
    <row r="231" spans="2:9" ht="16.5" thickBot="1">
      <c r="B231" s="141"/>
      <c r="C231" s="141"/>
    </row>
    <row r="232" spans="2:9">
      <c r="B232" s="8"/>
      <c r="C232" s="8" t="s">
        <v>332</v>
      </c>
      <c r="D232" s="8"/>
      <c r="E232" s="8" t="s">
        <v>105</v>
      </c>
      <c r="F232" s="8" t="s">
        <v>4</v>
      </c>
      <c r="G232" s="8" t="s">
        <v>5</v>
      </c>
      <c r="H232" s="8" t="s">
        <v>6</v>
      </c>
    </row>
    <row r="233" spans="2:9" ht="30">
      <c r="B233" s="185" t="s">
        <v>253</v>
      </c>
      <c r="C233" s="189">
        <v>12.3</v>
      </c>
      <c r="D233" s="185" t="s">
        <v>253</v>
      </c>
      <c r="E233" s="189">
        <v>20</v>
      </c>
      <c r="F233" s="189">
        <v>25.6</v>
      </c>
      <c r="G233" s="189">
        <v>31.8</v>
      </c>
      <c r="H233" s="189">
        <v>38.9</v>
      </c>
    </row>
    <row r="234" spans="2:9" ht="30">
      <c r="B234" s="185" t="s">
        <v>254</v>
      </c>
      <c r="C234" s="189">
        <v>2.7</v>
      </c>
      <c r="D234" s="185" t="s">
        <v>254</v>
      </c>
      <c r="E234" s="189">
        <v>2.5</v>
      </c>
      <c r="F234" s="189">
        <v>2.7</v>
      </c>
      <c r="G234" s="189">
        <v>3.1</v>
      </c>
      <c r="H234" s="189">
        <v>3.8</v>
      </c>
    </row>
    <row r="235" spans="2:9" ht="30">
      <c r="B235" s="185" t="s">
        <v>255</v>
      </c>
      <c r="C235" s="189">
        <v>7.1</v>
      </c>
      <c r="D235" s="185" t="s">
        <v>255</v>
      </c>
      <c r="E235" s="189">
        <v>6.3</v>
      </c>
      <c r="F235" s="189">
        <v>7.4</v>
      </c>
      <c r="G235" s="189">
        <v>6.4</v>
      </c>
      <c r="H235" s="189">
        <v>10</v>
      </c>
    </row>
    <row r="236" spans="2:9">
      <c r="B236" s="185" t="s">
        <v>256</v>
      </c>
      <c r="C236" s="189">
        <v>7.1</v>
      </c>
      <c r="D236" s="185" t="s">
        <v>256</v>
      </c>
      <c r="E236" s="189">
        <v>11</v>
      </c>
      <c r="F236" s="189">
        <v>14.2</v>
      </c>
      <c r="G236" s="189">
        <v>16.600000000000001</v>
      </c>
      <c r="H236" s="189">
        <v>20.5</v>
      </c>
    </row>
    <row r="237" spans="2:9">
      <c r="B237" s="185" t="s">
        <v>43</v>
      </c>
      <c r="C237" s="189">
        <v>2.6</v>
      </c>
      <c r="D237" s="185" t="s">
        <v>43</v>
      </c>
      <c r="E237" s="189">
        <v>2.6</v>
      </c>
      <c r="F237" s="189">
        <v>5.4</v>
      </c>
      <c r="G237" s="189">
        <v>7.7</v>
      </c>
      <c r="H237" s="189">
        <v>11</v>
      </c>
    </row>
    <row r="238" spans="2:9" ht="16.5" thickBot="1">
      <c r="B238" s="24" t="s">
        <v>26</v>
      </c>
      <c r="C238" s="188">
        <v>6.6</v>
      </c>
      <c r="D238" s="185" t="s">
        <v>257</v>
      </c>
      <c r="E238" s="189">
        <v>7.4</v>
      </c>
      <c r="F238" s="189">
        <v>13.4</v>
      </c>
      <c r="G238" s="189">
        <v>13.6</v>
      </c>
      <c r="H238" s="189">
        <v>17.7</v>
      </c>
    </row>
    <row r="239" spans="2:9" ht="16.5" thickBot="1">
      <c r="D239" s="24" t="s">
        <v>26</v>
      </c>
      <c r="E239" s="188">
        <v>9.6999999999999993</v>
      </c>
      <c r="F239" s="188">
        <v>13.3</v>
      </c>
      <c r="G239" s="188">
        <v>15.6</v>
      </c>
      <c r="H239" s="188">
        <v>19.3</v>
      </c>
    </row>
    <row r="240" spans="2:9">
      <c r="B240" s="142"/>
      <c r="C240" s="142"/>
    </row>
    <row r="241" spans="2:10">
      <c r="J241" s="94"/>
    </row>
    <row r="242" spans="2:10">
      <c r="B242" s="142" t="s">
        <v>258</v>
      </c>
      <c r="C242" s="142"/>
      <c r="J242" s="94"/>
    </row>
    <row r="243" spans="2:10">
      <c r="B243" s="141"/>
      <c r="C243" s="141"/>
      <c r="J243" s="94"/>
    </row>
    <row r="244" spans="2:10">
      <c r="B244" s="142" t="s">
        <v>259</v>
      </c>
      <c r="C244" s="141"/>
    </row>
    <row r="245" spans="2:10" ht="16.5" thickBot="1">
      <c r="B245" s="141"/>
      <c r="C245" s="141"/>
    </row>
    <row r="246" spans="2:10">
      <c r="B246" s="8"/>
      <c r="C246" s="8" t="s">
        <v>332</v>
      </c>
      <c r="D246" s="8" t="s">
        <v>105</v>
      </c>
      <c r="E246" s="8" t="s">
        <v>4</v>
      </c>
      <c r="F246" s="8" t="s">
        <v>5</v>
      </c>
      <c r="G246" s="8" t="s">
        <v>6</v>
      </c>
      <c r="H246" s="8" t="s">
        <v>7</v>
      </c>
    </row>
    <row r="247" spans="2:10" ht="45.75" thickBot="1">
      <c r="B247" s="24" t="s">
        <v>260</v>
      </c>
      <c r="C247" s="240" t="s">
        <v>349</v>
      </c>
      <c r="D247" s="188" t="s">
        <v>261</v>
      </c>
      <c r="E247" s="188" t="s">
        <v>262</v>
      </c>
      <c r="F247" s="188" t="s">
        <v>263</v>
      </c>
      <c r="G247" s="188" t="s">
        <v>264</v>
      </c>
      <c r="H247" s="188" t="s">
        <v>265</v>
      </c>
    </row>
    <row r="248" spans="2:10" ht="16.5" thickBot="1">
      <c r="B248" s="141"/>
      <c r="C248" s="141"/>
    </row>
    <row r="249" spans="2:10" ht="30">
      <c r="B249" s="49" t="s">
        <v>12</v>
      </c>
      <c r="C249" s="8"/>
      <c r="D249" s="8" t="s">
        <v>266</v>
      </c>
      <c r="E249" s="8" t="s">
        <v>267</v>
      </c>
      <c r="F249" s="8" t="s">
        <v>268</v>
      </c>
      <c r="G249" s="8" t="s">
        <v>269</v>
      </c>
      <c r="H249" s="8" t="s">
        <v>270</v>
      </c>
    </row>
    <row r="250" spans="2:10">
      <c r="B250" s="19" t="s">
        <v>332</v>
      </c>
      <c r="C250" s="241" t="s">
        <v>26</v>
      </c>
      <c r="D250" s="242">
        <v>1.73</v>
      </c>
      <c r="E250" s="242">
        <v>1.41</v>
      </c>
      <c r="F250" s="242">
        <v>3.03</v>
      </c>
      <c r="G250" s="242">
        <v>1.49</v>
      </c>
      <c r="H250" s="242">
        <v>3.58</v>
      </c>
    </row>
    <row r="251" spans="2:10">
      <c r="B251" s="185"/>
      <c r="C251" s="242" t="s">
        <v>8</v>
      </c>
      <c r="D251" s="242">
        <v>1.1329999498925052</v>
      </c>
      <c r="E251" s="242">
        <v>1.0110278059216977</v>
      </c>
      <c r="F251" s="242">
        <v>2.1220264719305564</v>
      </c>
      <c r="G251" s="242">
        <v>0.8758645585562953</v>
      </c>
      <c r="H251" s="242">
        <v>3.3317875089734468</v>
      </c>
    </row>
    <row r="252" spans="2:10">
      <c r="B252" s="185"/>
      <c r="C252" s="242" t="s">
        <v>9</v>
      </c>
      <c r="D252" s="242">
        <v>2.7188504983387887</v>
      </c>
      <c r="E252" s="242">
        <v>2.0864891630108131</v>
      </c>
      <c r="F252" s="242">
        <v>4.415291307387494</v>
      </c>
      <c r="G252" s="242">
        <v>2.23014744177497</v>
      </c>
      <c r="H252" s="242">
        <v>5.7890092165898883</v>
      </c>
      <c r="I252" s="94"/>
    </row>
    <row r="253" spans="2:10" ht="30">
      <c r="B253" s="185"/>
      <c r="C253" s="242" t="s">
        <v>10</v>
      </c>
      <c r="D253" s="242">
        <v>2.3931246721455368</v>
      </c>
      <c r="E253" s="242">
        <v>2.2071726412084525</v>
      </c>
      <c r="F253" s="242">
        <v>3.2513156602847268</v>
      </c>
      <c r="G253" s="242">
        <v>2.0948585572843692</v>
      </c>
      <c r="H253" s="242">
        <v>4.3101623376623461</v>
      </c>
      <c r="I253" s="94"/>
    </row>
    <row r="254" spans="2:10">
      <c r="B254" s="185"/>
      <c r="C254" s="242" t="s">
        <v>43</v>
      </c>
      <c r="D254" s="242">
        <v>0.69149531615926996</v>
      </c>
      <c r="E254" s="242">
        <v>0.54159378036930816</v>
      </c>
      <c r="F254" s="242">
        <v>1.0826584953508267</v>
      </c>
      <c r="G254" s="242">
        <v>0.75804131748200199</v>
      </c>
      <c r="H254" s="242">
        <v>1.8822222222222134</v>
      </c>
    </row>
    <row r="255" spans="2:10" ht="16.5" thickBot="1">
      <c r="B255" s="24"/>
      <c r="C255" s="233" t="s">
        <v>111</v>
      </c>
      <c r="D255" s="243">
        <v>1.112382920110194</v>
      </c>
      <c r="E255" s="243">
        <v>0.80955749128920029</v>
      </c>
      <c r="F255" s="243">
        <v>1.5052893309222426</v>
      </c>
      <c r="G255" s="243">
        <v>1.6991845238095329</v>
      </c>
      <c r="H255" s="243">
        <v>0.92116524028966806</v>
      </c>
    </row>
    <row r="256" spans="2:10">
      <c r="B256" s="19" t="s">
        <v>105</v>
      </c>
      <c r="C256" s="197" t="s">
        <v>26</v>
      </c>
      <c r="D256" s="185">
        <v>1.29</v>
      </c>
      <c r="E256" s="185">
        <v>0.98</v>
      </c>
      <c r="F256" s="185">
        <v>1.9</v>
      </c>
      <c r="G256" s="185">
        <v>0.9</v>
      </c>
      <c r="H256" s="185">
        <v>2.73</v>
      </c>
    </row>
    <row r="257" spans="2:8">
      <c r="B257" s="185"/>
      <c r="C257" s="185" t="s">
        <v>8</v>
      </c>
      <c r="D257" s="185">
        <v>0.85</v>
      </c>
      <c r="E257" s="185">
        <v>0.69</v>
      </c>
      <c r="F257" s="185">
        <v>2.1</v>
      </c>
      <c r="G257" s="185">
        <v>0.56218003693889995</v>
      </c>
      <c r="H257" s="185">
        <v>3.3600118209257697</v>
      </c>
    </row>
    <row r="258" spans="2:8">
      <c r="B258" s="185"/>
      <c r="C258" s="185" t="s">
        <v>9</v>
      </c>
      <c r="D258" s="185">
        <v>1.98</v>
      </c>
      <c r="E258" s="185">
        <v>1.22</v>
      </c>
      <c r="F258" s="185">
        <v>2.16</v>
      </c>
      <c r="G258" s="185">
        <v>1.226572670458969</v>
      </c>
      <c r="H258" s="185">
        <v>3.3782749326146053</v>
      </c>
    </row>
    <row r="259" spans="2:8" ht="30">
      <c r="B259" s="185"/>
      <c r="C259" s="185" t="s">
        <v>10</v>
      </c>
      <c r="D259" s="185">
        <v>2.08</v>
      </c>
      <c r="E259" s="185">
        <v>2.09</v>
      </c>
      <c r="F259" s="185">
        <v>2.0499999999999998</v>
      </c>
      <c r="G259" s="185">
        <v>1.6977727952166943</v>
      </c>
      <c r="H259" s="185">
        <v>4.3032474629197228</v>
      </c>
    </row>
    <row r="260" spans="2:8">
      <c r="B260" s="185"/>
      <c r="C260" s="185" t="s">
        <v>43</v>
      </c>
      <c r="D260" s="185">
        <v>0.63</v>
      </c>
      <c r="E260" s="185">
        <v>0.5</v>
      </c>
      <c r="F260" s="185">
        <v>0.94</v>
      </c>
      <c r="G260" s="185">
        <v>1.51</v>
      </c>
      <c r="H260" s="185">
        <v>2.0499999999999998</v>
      </c>
    </row>
    <row r="261" spans="2:8">
      <c r="B261" s="185"/>
      <c r="C261" s="185" t="s">
        <v>36</v>
      </c>
      <c r="D261" s="185">
        <v>0.96</v>
      </c>
      <c r="E261" s="185">
        <v>0.7</v>
      </c>
      <c r="F261" s="185">
        <v>1.75</v>
      </c>
      <c r="G261" s="185">
        <v>0.76</v>
      </c>
      <c r="H261" s="185">
        <v>1.7</v>
      </c>
    </row>
    <row r="262" spans="2:8" ht="16.5" thickBot="1">
      <c r="B262" s="24"/>
      <c r="C262" s="24" t="s">
        <v>111</v>
      </c>
      <c r="D262" s="198">
        <v>1.53</v>
      </c>
      <c r="E262" s="198">
        <v>1.49</v>
      </c>
      <c r="F262" s="198">
        <v>1.54</v>
      </c>
      <c r="G262" s="198">
        <v>0.47</v>
      </c>
      <c r="H262" s="198">
        <v>1.61</v>
      </c>
    </row>
    <row r="263" spans="2:8" ht="16.5" thickBot="1">
      <c r="B263" s="27" t="s">
        <v>271</v>
      </c>
      <c r="C263" s="27" t="s">
        <v>26</v>
      </c>
      <c r="D263" s="198">
        <v>1.8</v>
      </c>
      <c r="E263" s="198" t="s">
        <v>272</v>
      </c>
      <c r="F263" s="198" t="s">
        <v>272</v>
      </c>
      <c r="G263" s="198" t="s">
        <v>272</v>
      </c>
      <c r="H263" s="198" t="s">
        <v>272</v>
      </c>
    </row>
    <row r="264" spans="2:8" ht="16.5" thickBot="1">
      <c r="B264" s="27" t="s">
        <v>273</v>
      </c>
      <c r="C264" s="27" t="s">
        <v>26</v>
      </c>
      <c r="D264" s="198">
        <v>1.2</v>
      </c>
      <c r="E264" s="198" t="s">
        <v>272</v>
      </c>
      <c r="F264" s="198" t="s">
        <v>272</v>
      </c>
      <c r="G264" s="198" t="s">
        <v>272</v>
      </c>
      <c r="H264" s="198" t="s">
        <v>272</v>
      </c>
    </row>
    <row r="265" spans="2:8">
      <c r="B265" s="19" t="s">
        <v>6</v>
      </c>
      <c r="C265" s="197" t="s">
        <v>26</v>
      </c>
      <c r="D265" s="185">
        <v>2.8</v>
      </c>
      <c r="E265" s="185">
        <v>2.99</v>
      </c>
      <c r="F265" s="185">
        <v>2.15</v>
      </c>
      <c r="G265" s="185">
        <v>2.85</v>
      </c>
      <c r="H265" s="185">
        <v>2.48</v>
      </c>
    </row>
    <row r="266" spans="2:8">
      <c r="B266" s="19"/>
      <c r="C266" s="185" t="s">
        <v>8</v>
      </c>
      <c r="D266" s="185">
        <v>4.75</v>
      </c>
      <c r="E266" s="185">
        <v>5.05</v>
      </c>
      <c r="F266" s="185">
        <v>2.2799999999999998</v>
      </c>
      <c r="G266" s="185">
        <v>5.04</v>
      </c>
      <c r="H266" s="185">
        <v>3.35</v>
      </c>
    </row>
    <row r="267" spans="2:8">
      <c r="B267" s="185"/>
      <c r="C267" s="185" t="s">
        <v>9</v>
      </c>
      <c r="D267" s="185">
        <v>2.2200000000000002</v>
      </c>
      <c r="E267" s="185">
        <v>1.8</v>
      </c>
      <c r="F267" s="185">
        <v>3.24</v>
      </c>
      <c r="G267" s="185">
        <v>1.76</v>
      </c>
      <c r="H267" s="185">
        <v>2.88</v>
      </c>
    </row>
    <row r="268" spans="2:8" ht="30">
      <c r="B268" s="185"/>
      <c r="C268" s="185" t="s">
        <v>10</v>
      </c>
      <c r="D268" s="185">
        <v>1.43</v>
      </c>
      <c r="E268" s="185">
        <v>1.43</v>
      </c>
      <c r="F268" s="185">
        <v>1.44</v>
      </c>
      <c r="G268" s="185">
        <v>1.26</v>
      </c>
      <c r="H268" s="185">
        <v>2.4</v>
      </c>
    </row>
    <row r="269" spans="2:8">
      <c r="B269" s="185"/>
      <c r="C269" s="185" t="s">
        <v>43</v>
      </c>
      <c r="D269" s="185">
        <v>1.85</v>
      </c>
      <c r="E269" s="185">
        <v>1.63</v>
      </c>
      <c r="F269" s="185">
        <v>2.2999999999999998</v>
      </c>
      <c r="G269" s="185">
        <v>1.65</v>
      </c>
      <c r="H269" s="185">
        <v>4.0599999999999996</v>
      </c>
    </row>
    <row r="270" spans="2:8">
      <c r="B270" s="185"/>
      <c r="C270" s="185" t="s">
        <v>36</v>
      </c>
      <c r="D270" s="185">
        <v>1.2</v>
      </c>
      <c r="E270" s="185">
        <v>1.04</v>
      </c>
      <c r="F270" s="185">
        <v>1.72</v>
      </c>
      <c r="G270" s="185">
        <v>1.34</v>
      </c>
      <c r="H270" s="185">
        <v>0.66</v>
      </c>
    </row>
    <row r="271" spans="2:8">
      <c r="B271" s="185"/>
      <c r="C271" s="185" t="s">
        <v>44</v>
      </c>
      <c r="D271" s="185">
        <v>1.93</v>
      </c>
      <c r="E271" s="185">
        <v>2</v>
      </c>
      <c r="F271" s="185">
        <v>1.78</v>
      </c>
      <c r="G271" s="185">
        <v>1.86</v>
      </c>
      <c r="H271" s="185">
        <v>2.4900000000000002</v>
      </c>
    </row>
    <row r="272" spans="2:8" ht="16.5" thickBot="1">
      <c r="B272" s="24"/>
      <c r="C272" s="24" t="s">
        <v>54</v>
      </c>
      <c r="D272" s="198">
        <v>0.69</v>
      </c>
      <c r="E272" s="198">
        <v>0.66</v>
      </c>
      <c r="F272" s="198">
        <v>0.7</v>
      </c>
      <c r="G272" s="198">
        <v>0.72</v>
      </c>
      <c r="H272" s="198">
        <v>0.68</v>
      </c>
    </row>
    <row r="273" spans="2:9">
      <c r="B273" s="151"/>
      <c r="C273" s="151"/>
    </row>
    <row r="275" spans="2:9">
      <c r="B275" t="s">
        <v>355</v>
      </c>
    </row>
    <row r="276" spans="2:9">
      <c r="B276" t="s">
        <v>330</v>
      </c>
      <c r="C276" s="4"/>
    </row>
    <row r="277" spans="2:9">
      <c r="B277" t="s">
        <v>274</v>
      </c>
      <c r="C277" s="4"/>
    </row>
    <row r="278" spans="2:9">
      <c r="B278" t="s">
        <v>275</v>
      </c>
      <c r="C278" s="4"/>
    </row>
    <row r="279" spans="2:9">
      <c r="B279" t="s">
        <v>276</v>
      </c>
      <c r="C279" s="4"/>
      <c r="I279" s="211"/>
    </row>
    <row r="280" spans="2:9">
      <c r="B280" t="s">
        <v>277</v>
      </c>
      <c r="C280" s="4"/>
    </row>
    <row r="281" spans="2:9">
      <c r="B281" t="s">
        <v>329</v>
      </c>
      <c r="C281" s="4"/>
    </row>
    <row r="282" spans="2:9">
      <c r="B282" t="s">
        <v>278</v>
      </c>
    </row>
    <row r="283" spans="2:9">
      <c r="B283" t="s">
        <v>279</v>
      </c>
    </row>
    <row r="284" spans="2:9">
      <c r="B284" t="s">
        <v>280</v>
      </c>
    </row>
    <row r="285" spans="2:9">
      <c r="B285" t="s">
        <v>281</v>
      </c>
    </row>
    <row r="286" spans="2:9">
      <c r="B286" t="s">
        <v>303</v>
      </c>
      <c r="C286" s="211"/>
      <c r="D286" s="211"/>
      <c r="E286" s="211"/>
      <c r="F286" s="211"/>
      <c r="G286" s="211"/>
      <c r="H286" s="211"/>
    </row>
    <row r="287" spans="2:9">
      <c r="B287" s="152" t="s">
        <v>282</v>
      </c>
    </row>
    <row r="288" spans="2:9">
      <c r="B288" s="152" t="s">
        <v>328</v>
      </c>
    </row>
    <row r="289" spans="2:2">
      <c r="B289" s="152" t="s">
        <v>327</v>
      </c>
    </row>
    <row r="290" spans="2:2">
      <c r="B290" s="152" t="s">
        <v>320</v>
      </c>
    </row>
    <row r="291" spans="2:2">
      <c r="B291" s="152" t="s">
        <v>326</v>
      </c>
    </row>
    <row r="292" spans="2:2">
      <c r="B292" s="152" t="s">
        <v>325</v>
      </c>
    </row>
    <row r="293" spans="2:2">
      <c r="B293" s="152" t="s">
        <v>362</v>
      </c>
    </row>
  </sheetData>
  <hyperlinks>
    <hyperlink ref="G60" location="_ftn3" display="Recall [3]"/>
    <hyperlink ref="B211" location="_ftn5" display="Engagement [5]"/>
    <hyperlink ref="D236" location="_ftn8" display="Pallets [8]"/>
    <hyperlink ref="D238" location="_ftn9" display="Containers[9]"/>
    <hyperlink ref="B264" location="_ftn10" display="FY14 [10]"/>
    <hyperlink ref="B5" r:id="rId1"/>
    <hyperlink ref="B236" location="_ftn8" display="Pallets [8]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3"/>
  <sheetViews>
    <sheetView showGridLines="0" topLeftCell="A118" zoomScale="150" zoomScaleNormal="150" zoomScalePageLayoutView="150" workbookViewId="0">
      <selection activeCell="I128" sqref="I128"/>
    </sheetView>
  </sheetViews>
  <sheetFormatPr baseColWidth="10" defaultColWidth="11" defaultRowHeight="15" x14ac:dyDescent="0"/>
  <cols>
    <col min="1" max="1" width="3.1640625" customWidth="1"/>
    <col min="2" max="2" width="14.1640625" customWidth="1"/>
    <col min="3" max="3" width="18.1640625" bestFit="1" customWidth="1"/>
    <col min="5" max="5" width="10.33203125" customWidth="1"/>
    <col min="6" max="6" width="15.5" customWidth="1"/>
    <col min="7" max="7" width="15.1640625" customWidth="1"/>
  </cols>
  <sheetData>
    <row r="1" spans="2:11">
      <c r="B1" s="1" t="s">
        <v>0</v>
      </c>
      <c r="C1" s="1"/>
      <c r="D1" s="1"/>
      <c r="E1" s="2"/>
      <c r="F1" s="2"/>
      <c r="G1" s="2"/>
      <c r="H1" s="2"/>
      <c r="I1" s="2"/>
      <c r="J1" s="2"/>
      <c r="K1" s="2"/>
    </row>
    <row r="2" spans="2:11">
      <c r="B2" s="1" t="s">
        <v>333</v>
      </c>
      <c r="C2" s="1"/>
      <c r="D2" s="1"/>
      <c r="E2" s="2"/>
      <c r="F2" s="2"/>
      <c r="G2" s="2"/>
      <c r="H2" s="2"/>
      <c r="I2" s="2"/>
      <c r="J2" s="2"/>
      <c r="K2" s="2"/>
    </row>
    <row r="3" spans="2:11">
      <c r="B3" s="1"/>
      <c r="C3" s="1"/>
      <c r="D3" s="1"/>
      <c r="E3" s="2"/>
      <c r="F3" s="2"/>
      <c r="G3" s="2"/>
      <c r="H3" s="2"/>
      <c r="I3" s="2"/>
      <c r="J3" s="2"/>
      <c r="K3" s="2"/>
    </row>
    <row r="4" spans="2:11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ht="23.25">
      <c r="B5" s="3" t="s">
        <v>1</v>
      </c>
      <c r="C5" s="3"/>
      <c r="D5" s="2"/>
      <c r="E5" s="2"/>
      <c r="F5" s="2"/>
      <c r="G5" s="2"/>
      <c r="H5" s="2"/>
      <c r="I5" s="2"/>
      <c r="J5" s="2"/>
      <c r="K5" s="2"/>
    </row>
    <row r="6" spans="2:11">
      <c r="B6" s="4" t="s">
        <v>2</v>
      </c>
      <c r="C6" s="4"/>
      <c r="D6" s="2"/>
      <c r="E6" s="2"/>
      <c r="F6" s="2"/>
      <c r="G6" s="2"/>
      <c r="H6" s="2"/>
      <c r="I6" s="2"/>
      <c r="J6" s="2"/>
      <c r="K6" s="2"/>
    </row>
    <row r="7" spans="2:11">
      <c r="B7" s="5"/>
      <c r="C7" s="5"/>
      <c r="D7" s="2"/>
      <c r="E7" s="2"/>
      <c r="F7" s="2"/>
      <c r="G7" s="2"/>
      <c r="H7" s="2"/>
      <c r="I7" s="2"/>
      <c r="J7" s="2"/>
      <c r="K7" s="2"/>
    </row>
    <row r="8" spans="2:11" ht="21">
      <c r="B8" s="6" t="s">
        <v>142</v>
      </c>
      <c r="C8" s="5"/>
      <c r="D8" s="2"/>
      <c r="E8" s="2"/>
      <c r="F8" s="2"/>
      <c r="G8" s="2"/>
      <c r="H8" s="2"/>
      <c r="I8" s="2"/>
      <c r="J8" s="2"/>
      <c r="K8" s="2"/>
    </row>
    <row r="9" spans="2:11">
      <c r="B9" s="5"/>
      <c r="C9" s="5"/>
      <c r="D9" s="2"/>
      <c r="E9" s="2"/>
      <c r="F9" s="2"/>
      <c r="G9" s="2"/>
      <c r="H9" s="2"/>
      <c r="I9" s="2"/>
      <c r="J9" s="2"/>
      <c r="K9" s="2"/>
    </row>
    <row r="10" spans="2:11" ht="21">
      <c r="B10" s="6" t="s">
        <v>3</v>
      </c>
      <c r="C10" s="6"/>
      <c r="D10" s="2"/>
      <c r="E10" s="2"/>
      <c r="F10" s="2"/>
      <c r="G10" s="2"/>
      <c r="H10" s="2"/>
      <c r="I10" s="2"/>
      <c r="J10" s="2"/>
      <c r="K10" s="2"/>
    </row>
    <row r="11" spans="2:11" ht="17.25">
      <c r="B11" s="7" t="s">
        <v>107</v>
      </c>
      <c r="C11" s="7"/>
      <c r="D11" s="2"/>
      <c r="E11" s="2"/>
      <c r="F11" s="2"/>
      <c r="G11" s="2"/>
      <c r="H11" s="2"/>
      <c r="I11" s="2"/>
      <c r="J11" s="2"/>
      <c r="K11" s="2"/>
    </row>
    <row r="12" spans="2:11" ht="16.5" thickBot="1">
      <c r="B12" s="5"/>
      <c r="C12" s="5"/>
      <c r="D12" s="2"/>
      <c r="F12" s="2"/>
      <c r="G12" s="2"/>
      <c r="H12" s="2"/>
      <c r="I12" s="2"/>
      <c r="J12" s="2"/>
      <c r="K12" s="2"/>
    </row>
    <row r="13" spans="2:11">
      <c r="B13" s="87"/>
      <c r="C13" s="8" t="s">
        <v>332</v>
      </c>
      <c r="D13" s="8" t="s">
        <v>105</v>
      </c>
      <c r="E13" s="8" t="s">
        <v>4</v>
      </c>
      <c r="F13" s="55" t="s">
        <v>5</v>
      </c>
      <c r="G13" s="8" t="s">
        <v>6</v>
      </c>
      <c r="H13" s="8" t="s">
        <v>7</v>
      </c>
    </row>
    <row r="14" spans="2:11">
      <c r="B14" s="9" t="s">
        <v>8</v>
      </c>
      <c r="C14" s="15">
        <v>1415860</v>
      </c>
      <c r="D14" s="15">
        <v>1440576</v>
      </c>
      <c r="E14" s="15">
        <v>1199175</v>
      </c>
      <c r="F14" s="126">
        <v>1101620</v>
      </c>
      <c r="G14" s="15">
        <v>1043150</v>
      </c>
      <c r="H14" s="15">
        <v>880288</v>
      </c>
    </row>
    <row r="15" spans="2:11">
      <c r="B15" s="9" t="s">
        <v>9</v>
      </c>
      <c r="C15" s="15">
        <v>1114910.2844192286</v>
      </c>
      <c r="D15" s="15">
        <v>1124245</v>
      </c>
      <c r="E15" s="15">
        <v>927654</v>
      </c>
      <c r="F15" s="126">
        <v>917822</v>
      </c>
      <c r="G15" s="15">
        <v>765808</v>
      </c>
      <c r="H15" s="15">
        <v>582808</v>
      </c>
    </row>
    <row r="16" spans="2:11" ht="30">
      <c r="B16" s="9" t="s">
        <v>10</v>
      </c>
      <c r="C16" s="15">
        <v>161399</v>
      </c>
      <c r="D16" s="15">
        <v>181302</v>
      </c>
      <c r="E16" s="15">
        <v>202944</v>
      </c>
      <c r="F16" s="126">
        <v>196219</v>
      </c>
      <c r="G16" s="15">
        <v>167520</v>
      </c>
      <c r="H16" s="15">
        <v>181637</v>
      </c>
    </row>
    <row r="17" spans="2:13" ht="16.5" thickBot="1">
      <c r="B17" s="27" t="s">
        <v>11</v>
      </c>
      <c r="C17" s="59">
        <f>SUM(C14:C16)</f>
        <v>2692169.2844192283</v>
      </c>
      <c r="D17" s="11">
        <v>2746123</v>
      </c>
      <c r="E17" s="11">
        <v>2329773</v>
      </c>
      <c r="F17" s="56">
        <v>2215661</v>
      </c>
      <c r="G17" s="11">
        <v>1976478</v>
      </c>
      <c r="H17" s="11">
        <v>1644733</v>
      </c>
    </row>
    <row r="18" spans="2:13">
      <c r="B18" s="5"/>
      <c r="C18" s="64"/>
      <c r="D18" s="2"/>
      <c r="E18" s="2"/>
      <c r="F18" s="2"/>
      <c r="G18" s="2"/>
      <c r="H18" s="2"/>
      <c r="I18" s="2"/>
      <c r="J18" s="2"/>
      <c r="K18" s="2"/>
    </row>
    <row r="19" spans="2:13">
      <c r="B19" s="7" t="s">
        <v>122</v>
      </c>
      <c r="C19" s="7"/>
      <c r="D19" s="2"/>
      <c r="E19" s="2"/>
      <c r="F19" s="2"/>
      <c r="G19" s="2"/>
      <c r="H19" s="2"/>
      <c r="I19" s="2"/>
      <c r="J19" s="2"/>
      <c r="K19" s="2"/>
    </row>
    <row r="20" spans="2:13" ht="16.5" thickBot="1">
      <c r="B20" s="5"/>
      <c r="C20" s="5"/>
      <c r="D20" s="2"/>
      <c r="F20" s="71"/>
      <c r="G20" s="2"/>
      <c r="H20" s="2"/>
      <c r="I20" s="2"/>
      <c r="J20" s="2"/>
      <c r="K20" s="2"/>
    </row>
    <row r="21" spans="2:13" ht="60">
      <c r="B21" s="125" t="s">
        <v>12</v>
      </c>
      <c r="C21" s="125"/>
      <c r="D21" s="8" t="s">
        <v>123</v>
      </c>
      <c r="E21" s="8" t="s">
        <v>124</v>
      </c>
      <c r="F21" s="8" t="s">
        <v>125</v>
      </c>
      <c r="G21" s="69"/>
      <c r="H21" s="69"/>
      <c r="I21" s="69"/>
      <c r="J21" s="70"/>
      <c r="K21" s="2"/>
      <c r="L21" s="2"/>
      <c r="M21" s="2"/>
    </row>
    <row r="22" spans="2:13">
      <c r="B22" s="19" t="s">
        <v>332</v>
      </c>
      <c r="C22" s="19" t="s">
        <v>11</v>
      </c>
      <c r="D22" s="23">
        <v>0.56999999999999995</v>
      </c>
      <c r="E22" s="23">
        <v>0.42</v>
      </c>
      <c r="F22" s="23">
        <v>0.01</v>
      </c>
      <c r="G22" s="58"/>
      <c r="H22" s="58"/>
      <c r="I22" s="70"/>
      <c r="J22" s="2"/>
      <c r="K22" s="2"/>
      <c r="L22" s="2"/>
    </row>
    <row r="23" spans="2:13">
      <c r="B23" s="19"/>
      <c r="C23" s="9" t="s">
        <v>8</v>
      </c>
      <c r="D23" s="66">
        <v>0.21</v>
      </c>
      <c r="E23" s="66">
        <v>0.79</v>
      </c>
      <c r="F23" s="66">
        <v>0.01</v>
      </c>
      <c r="J23" s="57"/>
      <c r="K23" s="2"/>
      <c r="L23" s="2"/>
      <c r="M23" s="2"/>
    </row>
    <row r="24" spans="2:13">
      <c r="B24" s="19"/>
      <c r="C24" s="9" t="s">
        <v>9</v>
      </c>
      <c r="D24" s="66">
        <v>0.97</v>
      </c>
      <c r="E24" s="66">
        <v>0.02</v>
      </c>
      <c r="F24" s="66">
        <v>0</v>
      </c>
      <c r="J24" s="2"/>
      <c r="K24" s="2"/>
      <c r="L24" s="2"/>
      <c r="M24" s="2"/>
    </row>
    <row r="25" spans="2:13" ht="16.5" thickBot="1">
      <c r="B25" s="24"/>
      <c r="C25" s="72" t="s">
        <v>10</v>
      </c>
      <c r="D25" s="73">
        <v>0.92</v>
      </c>
      <c r="E25" s="73">
        <v>0</v>
      </c>
      <c r="F25" s="73">
        <v>0.08</v>
      </c>
      <c r="J25" s="2"/>
      <c r="K25" s="2"/>
      <c r="L25" s="2"/>
      <c r="M25" s="2"/>
    </row>
    <row r="26" spans="2:13">
      <c r="B26" s="19" t="s">
        <v>105</v>
      </c>
      <c r="C26" s="19" t="s">
        <v>11</v>
      </c>
      <c r="D26" s="23">
        <f>D43/D17</f>
        <v>0.48551430507664806</v>
      </c>
      <c r="E26" s="23">
        <f>E43/D17</f>
        <v>0.48754953802142148</v>
      </c>
      <c r="F26" s="23">
        <f>F43/D17</f>
        <v>2.6936156901930467E-2</v>
      </c>
      <c r="G26" s="58"/>
      <c r="H26" s="58"/>
      <c r="I26" s="70"/>
      <c r="J26" s="2"/>
      <c r="K26" s="2"/>
      <c r="L26" s="2"/>
    </row>
    <row r="27" spans="2:13">
      <c r="B27" s="19"/>
      <c r="C27" s="9" t="s">
        <v>8</v>
      </c>
      <c r="D27" s="66">
        <f>D44/D14</f>
        <v>8.4348205162379494E-2</v>
      </c>
      <c r="E27" s="66">
        <f>E44/D14</f>
        <v>0.89514680239015509</v>
      </c>
      <c r="F27" s="66">
        <f>F44/D14</f>
        <v>2.0504992447465457E-2</v>
      </c>
      <c r="J27" s="57"/>
      <c r="K27" s="2"/>
      <c r="L27" s="2"/>
      <c r="M27" s="2"/>
    </row>
    <row r="28" spans="2:13">
      <c r="B28" s="19"/>
      <c r="C28" s="9" t="s">
        <v>9</v>
      </c>
      <c r="D28" s="66">
        <f>D45/D15</f>
        <v>0.96575479544049558</v>
      </c>
      <c r="E28" s="66">
        <f>E45/D15</f>
        <v>3.2468901351573723E-2</v>
      </c>
      <c r="F28" s="66">
        <f>F45/D15</f>
        <v>1.7763032079306557E-3</v>
      </c>
      <c r="J28" s="2"/>
      <c r="K28" s="2"/>
      <c r="L28" s="2"/>
      <c r="M28" s="2"/>
    </row>
    <row r="29" spans="2:13" ht="16.5" thickBot="1">
      <c r="B29" s="24"/>
      <c r="C29" s="72" t="s">
        <v>10</v>
      </c>
      <c r="D29" s="73">
        <f>D46/D16</f>
        <v>0.69512195121951215</v>
      </c>
      <c r="E29" s="73">
        <f>E46/D16</f>
        <v>7.0826576651112513E-2</v>
      </c>
      <c r="F29" s="73">
        <f>F46/D16</f>
        <v>0.2340514721293753</v>
      </c>
      <c r="J29" s="2"/>
      <c r="K29" s="2"/>
      <c r="L29" s="2"/>
      <c r="M29" s="2"/>
    </row>
    <row r="30" spans="2:13">
      <c r="B30" s="19" t="s">
        <v>4</v>
      </c>
      <c r="C30" s="19" t="s">
        <v>11</v>
      </c>
      <c r="D30" s="23">
        <v>0.43</v>
      </c>
      <c r="E30" s="23">
        <v>0.54</v>
      </c>
      <c r="F30" s="23">
        <v>0.03</v>
      </c>
      <c r="I30" s="60"/>
      <c r="J30" s="2"/>
      <c r="K30" s="2"/>
      <c r="L30" s="2"/>
    </row>
    <row r="31" spans="2:13">
      <c r="B31" s="19"/>
      <c r="C31" s="9" t="s">
        <v>8</v>
      </c>
      <c r="D31" s="66">
        <v>0.01</v>
      </c>
      <c r="E31" s="66">
        <v>0.97</v>
      </c>
      <c r="F31" s="66">
        <v>0.02</v>
      </c>
      <c r="G31" s="68"/>
      <c r="H31" s="68"/>
      <c r="I31" s="68"/>
      <c r="J31" s="60"/>
      <c r="K31" s="2"/>
      <c r="L31" s="2"/>
      <c r="M31" s="2"/>
    </row>
    <row r="32" spans="2:13">
      <c r="B32" s="19"/>
      <c r="C32" s="9" t="s">
        <v>9</v>
      </c>
      <c r="D32" s="66">
        <v>0.95</v>
      </c>
      <c r="E32" s="66">
        <v>0.05</v>
      </c>
      <c r="F32" s="66">
        <v>2E-3</v>
      </c>
      <c r="G32" s="68"/>
      <c r="H32" s="68"/>
      <c r="I32" s="68"/>
      <c r="J32" s="60"/>
      <c r="K32" s="2"/>
      <c r="L32" s="2"/>
      <c r="M32" s="2"/>
    </row>
    <row r="33" spans="2:13" ht="16.5" thickBot="1">
      <c r="B33" s="24"/>
      <c r="C33" s="72" t="s">
        <v>10</v>
      </c>
      <c r="D33" s="73">
        <v>0.51</v>
      </c>
      <c r="E33" s="73">
        <v>0.28999999999999998</v>
      </c>
      <c r="F33" s="73">
        <v>0.2</v>
      </c>
      <c r="G33" s="68"/>
      <c r="H33" s="68"/>
      <c r="I33" s="68"/>
      <c r="J33" s="60"/>
      <c r="K33" s="2"/>
      <c r="L33" s="2"/>
      <c r="M33" s="2"/>
    </row>
    <row r="34" spans="2:13">
      <c r="B34" s="94"/>
      <c r="G34" s="68"/>
      <c r="H34" s="68"/>
      <c r="I34" s="68"/>
      <c r="J34" s="60"/>
      <c r="K34" s="2"/>
      <c r="L34" s="2"/>
      <c r="M34" s="2"/>
    </row>
    <row r="35" spans="2:13">
      <c r="B35" s="67"/>
      <c r="C35" s="68"/>
      <c r="D35" s="68"/>
      <c r="E35" s="68"/>
      <c r="F35" s="68"/>
      <c r="G35" s="68"/>
      <c r="H35" s="68"/>
      <c r="I35" s="60"/>
      <c r="J35" s="2"/>
      <c r="K35" s="2"/>
      <c r="L35" s="2"/>
    </row>
    <row r="36" spans="2:13" ht="17.25">
      <c r="B36" s="7" t="s">
        <v>108</v>
      </c>
      <c r="C36" s="7"/>
      <c r="D36" s="2"/>
      <c r="E36" s="2"/>
      <c r="F36" s="2"/>
      <c r="G36" s="2"/>
      <c r="H36" s="2"/>
      <c r="I36" s="2"/>
      <c r="J36" s="2"/>
      <c r="K36" s="2"/>
    </row>
    <row r="37" spans="2:13" ht="16.5" thickBot="1">
      <c r="B37" s="5"/>
      <c r="C37" s="5"/>
      <c r="D37" s="2"/>
      <c r="E37" s="2"/>
      <c r="F37" s="2"/>
      <c r="G37" s="2"/>
      <c r="H37" s="2"/>
      <c r="I37" s="2"/>
      <c r="J37" s="2"/>
      <c r="K37" s="2"/>
    </row>
    <row r="38" spans="2:13" ht="75">
      <c r="B38" s="125" t="s">
        <v>12</v>
      </c>
      <c r="C38" s="12"/>
      <c r="D38" s="8" t="s">
        <v>13</v>
      </c>
      <c r="E38" s="8" t="s">
        <v>14</v>
      </c>
      <c r="F38" s="8" t="s">
        <v>15</v>
      </c>
      <c r="G38" s="65"/>
      <c r="H38" s="65"/>
      <c r="I38" s="65"/>
    </row>
    <row r="39" spans="2:13">
      <c r="B39" s="19" t="s">
        <v>332</v>
      </c>
      <c r="C39" s="13" t="s">
        <v>11</v>
      </c>
      <c r="D39" s="10">
        <f>SUM(D40:D42)</f>
        <v>1526091.8044192286</v>
      </c>
      <c r="E39" s="10">
        <f>SUM(E40:E42)</f>
        <v>1141869.48</v>
      </c>
      <c r="F39" s="10">
        <f>SUM(F40:F42)</f>
        <v>24208</v>
      </c>
      <c r="G39" s="60"/>
      <c r="H39" s="60"/>
      <c r="I39" s="60"/>
      <c r="J39" s="2"/>
      <c r="K39" s="2"/>
    </row>
    <row r="40" spans="2:13">
      <c r="B40" s="19"/>
      <c r="C40" s="14" t="s">
        <v>8</v>
      </c>
      <c r="D40" s="15">
        <v>291469.51999999996</v>
      </c>
      <c r="E40" s="15">
        <v>1114744.48</v>
      </c>
      <c r="F40" s="15">
        <v>9646</v>
      </c>
      <c r="G40" s="264"/>
      <c r="H40" s="265"/>
      <c r="I40" s="265"/>
      <c r="J40" s="2"/>
      <c r="K40" s="2"/>
    </row>
    <row r="41" spans="2:13">
      <c r="B41" s="19"/>
      <c r="C41" s="14" t="s">
        <v>9</v>
      </c>
      <c r="D41" s="15">
        <v>1085729.2844192286</v>
      </c>
      <c r="E41" s="15">
        <v>27125</v>
      </c>
      <c r="F41" s="15">
        <v>2056</v>
      </c>
      <c r="G41" s="264"/>
      <c r="H41" s="265"/>
      <c r="I41" s="265"/>
      <c r="J41" s="2"/>
      <c r="K41" s="2"/>
    </row>
    <row r="42" spans="2:13" ht="16.5" thickBot="1">
      <c r="B42" s="24"/>
      <c r="C42" s="52" t="s">
        <v>10</v>
      </c>
      <c r="D42" s="54">
        <v>148893</v>
      </c>
      <c r="E42" s="54">
        <v>0</v>
      </c>
      <c r="F42" s="54">
        <v>12506</v>
      </c>
      <c r="G42" s="264"/>
      <c r="H42" s="265"/>
      <c r="I42" s="265"/>
      <c r="J42" s="2"/>
      <c r="K42" s="2"/>
    </row>
    <row r="43" spans="2:13">
      <c r="B43" s="19" t="s">
        <v>105</v>
      </c>
      <c r="C43" s="13" t="s">
        <v>11</v>
      </c>
      <c r="D43" s="10">
        <v>1333282</v>
      </c>
      <c r="E43" s="10">
        <v>1338871</v>
      </c>
      <c r="F43" s="10">
        <v>73970</v>
      </c>
      <c r="G43" s="60"/>
      <c r="H43" s="60"/>
      <c r="I43" s="60"/>
      <c r="J43" s="2"/>
      <c r="K43" s="2"/>
    </row>
    <row r="44" spans="2:13">
      <c r="B44" s="19"/>
      <c r="C44" s="14" t="s">
        <v>8</v>
      </c>
      <c r="D44" s="15">
        <v>121510</v>
      </c>
      <c r="E44" s="15">
        <v>1289527</v>
      </c>
      <c r="F44" s="15">
        <v>29539</v>
      </c>
      <c r="G44" s="264"/>
      <c r="H44" s="265"/>
      <c r="I44" s="265"/>
      <c r="J44" s="2"/>
      <c r="K44" s="2"/>
    </row>
    <row r="45" spans="2:13">
      <c r="B45" s="19"/>
      <c r="C45" s="14" t="s">
        <v>9</v>
      </c>
      <c r="D45" s="15">
        <v>1085745</v>
      </c>
      <c r="E45" s="15">
        <v>36503</v>
      </c>
      <c r="F45" s="15">
        <v>1997</v>
      </c>
      <c r="G45" s="264"/>
      <c r="H45" s="265"/>
      <c r="I45" s="265"/>
      <c r="J45" s="2"/>
      <c r="K45" s="2"/>
    </row>
    <row r="46" spans="2:13" ht="16.5" thickBot="1">
      <c r="B46" s="24"/>
      <c r="C46" s="52" t="s">
        <v>10</v>
      </c>
      <c r="D46" s="54">
        <v>126027</v>
      </c>
      <c r="E46" s="54">
        <v>12841</v>
      </c>
      <c r="F46" s="54">
        <v>42434</v>
      </c>
      <c r="G46" s="264"/>
      <c r="H46" s="265"/>
      <c r="I46" s="265"/>
      <c r="J46" s="2"/>
      <c r="K46" s="2"/>
    </row>
    <row r="47" spans="2:13">
      <c r="B47" s="19" t="s">
        <v>4</v>
      </c>
      <c r="C47" s="13" t="s">
        <v>11</v>
      </c>
      <c r="D47" s="10">
        <v>999686</v>
      </c>
      <c r="E47" s="10">
        <v>1257710</v>
      </c>
      <c r="F47" s="10">
        <v>72377</v>
      </c>
      <c r="G47" s="264"/>
      <c r="H47" s="265"/>
      <c r="I47" s="265"/>
      <c r="J47" s="2"/>
      <c r="K47" s="2"/>
    </row>
    <row r="48" spans="2:13">
      <c r="B48" s="19"/>
      <c r="C48" s="14" t="s">
        <v>8</v>
      </c>
      <c r="D48" s="15">
        <v>12461</v>
      </c>
      <c r="E48" s="15">
        <v>1157657</v>
      </c>
      <c r="F48" s="15">
        <v>29057</v>
      </c>
      <c r="G48" s="264"/>
      <c r="H48" s="265"/>
      <c r="I48" s="265"/>
      <c r="J48" s="2"/>
      <c r="K48" s="2"/>
    </row>
    <row r="49" spans="2:11">
      <c r="B49" s="19"/>
      <c r="C49" s="14" t="s">
        <v>9</v>
      </c>
      <c r="D49" s="15">
        <v>882780</v>
      </c>
      <c r="E49" s="15">
        <v>42719</v>
      </c>
      <c r="F49" s="15">
        <v>2155</v>
      </c>
      <c r="G49" s="264"/>
      <c r="H49" s="265"/>
      <c r="I49" s="265"/>
      <c r="J49" s="2"/>
      <c r="K49" s="2"/>
    </row>
    <row r="50" spans="2:11" ht="16.5" thickBot="1">
      <c r="B50" s="24"/>
      <c r="C50" s="52" t="s">
        <v>10</v>
      </c>
      <c r="D50" s="54">
        <v>104445</v>
      </c>
      <c r="E50" s="54">
        <v>57334</v>
      </c>
      <c r="F50" s="54">
        <v>41165</v>
      </c>
      <c r="G50" s="264"/>
      <c r="H50" s="265"/>
      <c r="I50" s="265"/>
      <c r="J50" s="2"/>
      <c r="K50" s="2"/>
    </row>
    <row r="51" spans="2:11">
      <c r="B51" s="19" t="s">
        <v>5</v>
      </c>
      <c r="C51" s="13" t="s">
        <v>11</v>
      </c>
      <c r="D51" s="10">
        <v>959711</v>
      </c>
      <c r="E51" s="10">
        <v>1113418</v>
      </c>
      <c r="F51" s="10">
        <v>142532</v>
      </c>
      <c r="G51" s="264"/>
      <c r="H51" s="265"/>
      <c r="I51" s="265"/>
      <c r="J51" s="2"/>
      <c r="K51" s="2"/>
    </row>
    <row r="52" spans="2:11">
      <c r="B52" s="19"/>
      <c r="C52" s="14" t="s">
        <v>8</v>
      </c>
      <c r="D52" s="16" t="s">
        <v>16</v>
      </c>
      <c r="E52" s="15">
        <v>1007079</v>
      </c>
      <c r="F52" s="15">
        <v>94541</v>
      </c>
      <c r="G52" s="264"/>
      <c r="H52" s="265"/>
      <c r="I52" s="265"/>
      <c r="J52" s="2"/>
      <c r="K52" s="2"/>
    </row>
    <row r="53" spans="2:11">
      <c r="B53" s="19"/>
      <c r="C53" s="14" t="s">
        <v>9</v>
      </c>
      <c r="D53" s="15">
        <v>855528</v>
      </c>
      <c r="E53" s="15">
        <v>53957</v>
      </c>
      <c r="F53" s="15">
        <v>8337</v>
      </c>
      <c r="G53" s="264"/>
      <c r="H53" s="265"/>
      <c r="I53" s="265"/>
      <c r="J53" s="2"/>
      <c r="K53" s="2"/>
    </row>
    <row r="54" spans="2:11" ht="16.5" thickBot="1">
      <c r="B54" s="24"/>
      <c r="C54" s="52" t="s">
        <v>10</v>
      </c>
      <c r="D54" s="54">
        <v>104183</v>
      </c>
      <c r="E54" s="54">
        <v>52382</v>
      </c>
      <c r="F54" s="54">
        <v>39654</v>
      </c>
      <c r="G54" s="264"/>
      <c r="H54" s="265"/>
      <c r="I54" s="265"/>
      <c r="J54" s="2"/>
      <c r="K54" s="2"/>
    </row>
    <row r="55" spans="2:11">
      <c r="B55" s="19" t="s">
        <v>6</v>
      </c>
      <c r="C55" s="13" t="s">
        <v>11</v>
      </c>
      <c r="D55" s="10">
        <v>653488</v>
      </c>
      <c r="E55" s="10">
        <v>1080620</v>
      </c>
      <c r="F55" s="10">
        <v>242370</v>
      </c>
      <c r="G55" s="264"/>
      <c r="H55" s="265"/>
      <c r="I55" s="265"/>
      <c r="J55" s="2"/>
      <c r="K55" s="2"/>
    </row>
    <row r="56" spans="2:11">
      <c r="B56" s="19"/>
      <c r="C56" s="14" t="s">
        <v>8</v>
      </c>
      <c r="D56" s="16" t="s">
        <v>16</v>
      </c>
      <c r="E56" s="15">
        <v>843053</v>
      </c>
      <c r="F56" s="15">
        <v>200097</v>
      </c>
      <c r="G56" s="264"/>
      <c r="H56" s="265"/>
      <c r="I56" s="265"/>
      <c r="J56" s="2"/>
      <c r="K56" s="2"/>
    </row>
    <row r="57" spans="2:11">
      <c r="B57" s="19"/>
      <c r="C57" s="14" t="s">
        <v>9</v>
      </c>
      <c r="D57" s="15">
        <v>653488</v>
      </c>
      <c r="E57" s="15">
        <v>103517</v>
      </c>
      <c r="F57" s="15">
        <v>8803</v>
      </c>
      <c r="G57" s="264"/>
      <c r="H57" s="265"/>
      <c r="I57" s="265"/>
      <c r="J57" s="2"/>
      <c r="K57" s="2"/>
    </row>
    <row r="58" spans="2:11" ht="16.5" thickBot="1">
      <c r="B58" s="24"/>
      <c r="C58" s="52" t="s">
        <v>10</v>
      </c>
      <c r="D58" s="53" t="s">
        <v>16</v>
      </c>
      <c r="E58" s="54">
        <v>134050</v>
      </c>
      <c r="F58" s="54">
        <v>33470</v>
      </c>
      <c r="G58" s="264"/>
      <c r="H58" s="265"/>
      <c r="I58" s="265"/>
      <c r="J58" s="2"/>
      <c r="K58" s="2"/>
    </row>
    <row r="59" spans="2:11">
      <c r="B59" s="19" t="s">
        <v>7</v>
      </c>
      <c r="C59" s="13" t="s">
        <v>11</v>
      </c>
      <c r="D59" s="10">
        <v>471060</v>
      </c>
      <c r="E59" s="10">
        <v>911293</v>
      </c>
      <c r="F59" s="10">
        <v>262380</v>
      </c>
      <c r="G59" s="264"/>
      <c r="H59" s="265"/>
      <c r="I59" s="265"/>
      <c r="J59" s="2"/>
      <c r="K59" s="2"/>
    </row>
    <row r="60" spans="2:11">
      <c r="B60" s="19"/>
      <c r="C60" s="14" t="s">
        <v>8</v>
      </c>
      <c r="D60" s="16" t="s">
        <v>16</v>
      </c>
      <c r="E60" s="15">
        <v>702630</v>
      </c>
      <c r="F60" s="15">
        <v>177658</v>
      </c>
      <c r="G60" s="264"/>
      <c r="H60" s="265"/>
      <c r="I60" s="265"/>
      <c r="J60" s="2"/>
      <c r="K60" s="2"/>
    </row>
    <row r="61" spans="2:11">
      <c r="B61" s="19"/>
      <c r="C61" s="14" t="s">
        <v>9</v>
      </c>
      <c r="D61" s="15">
        <v>471060</v>
      </c>
      <c r="E61" s="15">
        <v>74633</v>
      </c>
      <c r="F61" s="15">
        <v>37115</v>
      </c>
      <c r="G61" s="264"/>
      <c r="H61" s="265"/>
      <c r="I61" s="265"/>
      <c r="J61" s="2"/>
      <c r="K61" s="2"/>
    </row>
    <row r="62" spans="2:11" ht="16.5" thickBot="1">
      <c r="B62" s="24"/>
      <c r="C62" s="52" t="s">
        <v>10</v>
      </c>
      <c r="D62" s="53" t="s">
        <v>16</v>
      </c>
      <c r="E62" s="54">
        <v>134030</v>
      </c>
      <c r="F62" s="54">
        <v>47607</v>
      </c>
      <c r="G62" s="264"/>
      <c r="H62" s="265"/>
      <c r="I62" s="265"/>
      <c r="J62" s="2"/>
      <c r="K62" s="2"/>
    </row>
    <row r="63" spans="2:11"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2:11">
      <c r="B64" s="5"/>
      <c r="C64" s="5"/>
      <c r="D64" s="2"/>
      <c r="E64" s="2"/>
      <c r="F64" s="2"/>
      <c r="G64" s="2"/>
      <c r="H64" s="2"/>
      <c r="I64" s="2"/>
      <c r="J64" s="2"/>
      <c r="K64" s="2"/>
    </row>
    <row r="65" spans="2:14">
      <c r="B65" s="7" t="s">
        <v>17</v>
      </c>
      <c r="C65" s="7"/>
      <c r="D65" s="2"/>
      <c r="E65" s="2"/>
      <c r="F65" s="2"/>
      <c r="G65" s="2"/>
      <c r="H65" s="2"/>
      <c r="I65" s="2"/>
      <c r="J65" s="2"/>
      <c r="K65" s="2"/>
    </row>
    <row r="66" spans="2:14" ht="16.5" thickBot="1">
      <c r="B66" s="5"/>
      <c r="C66" s="5"/>
      <c r="D66" s="2"/>
      <c r="E66" s="2"/>
      <c r="F66" s="2"/>
      <c r="G66" s="2"/>
      <c r="H66" s="2"/>
      <c r="I66" s="2"/>
      <c r="J66" s="2"/>
      <c r="K66" s="2"/>
    </row>
    <row r="67" spans="2:14">
      <c r="B67" s="87"/>
      <c r="C67" s="8" t="s">
        <v>332</v>
      </c>
      <c r="D67" s="8" t="s">
        <v>105</v>
      </c>
      <c r="E67" s="8" t="s">
        <v>4</v>
      </c>
      <c r="F67" s="8" t="s">
        <v>5</v>
      </c>
      <c r="G67" s="2"/>
      <c r="H67" s="2"/>
    </row>
    <row r="68" spans="2:14">
      <c r="B68" s="9" t="s">
        <v>18</v>
      </c>
      <c r="C68" s="82">
        <v>0.37797267825086395</v>
      </c>
      <c r="D68" s="84">
        <v>0.38</v>
      </c>
      <c r="E68" s="22">
        <v>0.37</v>
      </c>
      <c r="F68" s="23">
        <v>0.38</v>
      </c>
      <c r="G68" s="2"/>
      <c r="H68" s="2"/>
    </row>
    <row r="69" spans="2:14" ht="30">
      <c r="B69" s="9" t="s">
        <v>19</v>
      </c>
      <c r="C69" s="82">
        <v>3.6273691636671331E-2</v>
      </c>
      <c r="D69" s="84">
        <v>0.04</v>
      </c>
      <c r="E69" s="22">
        <v>0.05</v>
      </c>
      <c r="F69" s="23">
        <v>7.0000000000000007E-2</v>
      </c>
      <c r="G69" s="2"/>
      <c r="H69" s="2"/>
    </row>
    <row r="70" spans="2:14">
      <c r="B70" s="9" t="s">
        <v>20</v>
      </c>
      <c r="C70" s="82">
        <v>0.24278987877590244</v>
      </c>
      <c r="D70" s="84">
        <v>0.28000000000000003</v>
      </c>
      <c r="E70" s="22">
        <v>0.26</v>
      </c>
      <c r="F70" s="23">
        <v>0.28000000000000003</v>
      </c>
      <c r="G70" s="2"/>
      <c r="H70" s="2"/>
    </row>
    <row r="71" spans="2:14">
      <c r="B71" s="9" t="s">
        <v>21</v>
      </c>
      <c r="C71" s="82">
        <v>3.3585155667532757E-2</v>
      </c>
      <c r="D71" s="84">
        <v>0.03</v>
      </c>
      <c r="E71" s="22">
        <v>0.03</v>
      </c>
      <c r="F71" s="23">
        <v>0.03</v>
      </c>
      <c r="G71" s="2"/>
      <c r="H71" s="2"/>
    </row>
    <row r="72" spans="2:14">
      <c r="B72" s="9" t="s">
        <v>22</v>
      </c>
      <c r="C72" s="82">
        <v>0.28312831883897382</v>
      </c>
      <c r="D72" s="84">
        <v>0.26</v>
      </c>
      <c r="E72" s="22">
        <v>0.28000000000000003</v>
      </c>
      <c r="F72" s="23">
        <v>0.25</v>
      </c>
      <c r="G72" s="2"/>
      <c r="H72" s="2"/>
    </row>
    <row r="73" spans="2:14" ht="16.5" thickBot="1">
      <c r="B73" s="24" t="s">
        <v>23</v>
      </c>
      <c r="C73" s="83">
        <v>2.625027683005569E-2</v>
      </c>
      <c r="D73" s="89">
        <v>0.01</v>
      </c>
      <c r="E73" s="25">
        <v>0.02</v>
      </c>
      <c r="F73" s="26">
        <v>0.02</v>
      </c>
      <c r="G73" s="2"/>
      <c r="H73" s="2"/>
    </row>
    <row r="74" spans="2:14">
      <c r="B74" s="5"/>
      <c r="C74" s="88"/>
      <c r="D74" s="2"/>
      <c r="E74" s="2"/>
      <c r="F74" s="2"/>
      <c r="G74" s="2"/>
      <c r="H74" s="2"/>
      <c r="I74" s="2"/>
      <c r="J74" s="2"/>
      <c r="K74" s="2"/>
    </row>
    <row r="75" spans="2:14" ht="21">
      <c r="B75" s="6" t="s">
        <v>24</v>
      </c>
      <c r="C75" s="6"/>
      <c r="D75" s="2"/>
      <c r="E75" s="2"/>
      <c r="F75" s="2"/>
      <c r="G75" s="2"/>
      <c r="H75" s="2"/>
      <c r="I75" s="2"/>
      <c r="J75" s="2"/>
      <c r="K75" s="2"/>
    </row>
    <row r="76" spans="2:14">
      <c r="B76" s="7" t="s">
        <v>25</v>
      </c>
      <c r="C76" s="7"/>
      <c r="D76" s="2"/>
      <c r="E76" s="2"/>
      <c r="F76" s="2"/>
      <c r="G76" s="2"/>
      <c r="H76" s="2"/>
      <c r="I76" s="2"/>
      <c r="J76" s="2"/>
      <c r="K76" s="2"/>
    </row>
    <row r="77" spans="2:14" ht="16.5" thickBot="1">
      <c r="B77" s="5"/>
      <c r="C77" s="5"/>
      <c r="D77" s="2"/>
      <c r="E77" s="2"/>
      <c r="F77" s="2"/>
      <c r="G77" s="2"/>
      <c r="H77" s="2"/>
      <c r="I77" s="2"/>
      <c r="J77" s="2"/>
      <c r="K77" s="2"/>
    </row>
    <row r="78" spans="2:14">
      <c r="B78" s="210"/>
      <c r="C78" s="8" t="s">
        <v>332</v>
      </c>
      <c r="D78" s="87"/>
      <c r="E78" s="8" t="s">
        <v>105</v>
      </c>
      <c r="F78" s="8" t="s">
        <v>4</v>
      </c>
      <c r="G78" s="2"/>
      <c r="H78" s="2"/>
      <c r="I78" s="2"/>
      <c r="J78" s="2"/>
      <c r="K78" s="2"/>
      <c r="L78" s="2"/>
      <c r="M78" s="2"/>
      <c r="N78" s="2"/>
    </row>
    <row r="79" spans="2:14" ht="16.5" thickBot="1">
      <c r="B79" s="9" t="s">
        <v>43</v>
      </c>
      <c r="C79" s="15">
        <f>64016592/1000</f>
        <v>64016.591999999997</v>
      </c>
      <c r="D79" s="9" t="s">
        <v>46</v>
      </c>
      <c r="E79" s="15">
        <v>69388.687000000005</v>
      </c>
      <c r="F79" s="15">
        <v>58000</v>
      </c>
      <c r="G79" s="2"/>
      <c r="H79" s="2"/>
      <c r="I79" s="2"/>
      <c r="J79" s="2"/>
      <c r="K79" s="2"/>
      <c r="L79" s="2"/>
      <c r="M79" s="2"/>
      <c r="N79" s="2"/>
    </row>
    <row r="80" spans="2:14">
      <c r="B80" s="9" t="s">
        <v>83</v>
      </c>
      <c r="C80" s="15">
        <f>23226623.58/1000+9449</f>
        <v>32675.623579999999</v>
      </c>
      <c r="D80" s="9" t="s">
        <v>73</v>
      </c>
      <c r="E80" s="15">
        <v>13686.870999999999</v>
      </c>
      <c r="F80" s="12"/>
      <c r="G80" s="2"/>
      <c r="H80" s="2"/>
      <c r="I80" s="2"/>
      <c r="J80" s="2"/>
      <c r="K80" s="2"/>
      <c r="L80" s="2"/>
      <c r="M80" s="2"/>
      <c r="N80" s="2"/>
    </row>
    <row r="81" spans="2:14" ht="16.5" thickBot="1">
      <c r="B81" s="27" t="s">
        <v>26</v>
      </c>
      <c r="C81" s="244">
        <f>SUM(C79:C80)+1</f>
        <v>96693.215579999989</v>
      </c>
      <c r="D81" s="19" t="s">
        <v>110</v>
      </c>
      <c r="E81" s="10">
        <f>SUM(E79:E80)</f>
        <v>83075.558000000005</v>
      </c>
      <c r="F81" s="10">
        <v>58000</v>
      </c>
      <c r="G81" s="2"/>
      <c r="H81" s="2"/>
      <c r="I81" s="2"/>
      <c r="J81" s="2"/>
      <c r="K81" s="2"/>
      <c r="L81" s="2"/>
      <c r="M81" s="2"/>
      <c r="N81" s="2"/>
    </row>
    <row r="82" spans="2:14">
      <c r="B82" s="245"/>
      <c r="C82" s="246"/>
      <c r="D82" s="9" t="s">
        <v>36</v>
      </c>
      <c r="E82" s="15">
        <v>10485.812</v>
      </c>
      <c r="F82" s="12"/>
      <c r="G82" s="2"/>
      <c r="H82" s="2"/>
      <c r="I82" s="2"/>
      <c r="J82" s="2"/>
      <c r="K82" s="2"/>
      <c r="L82" s="2"/>
      <c r="M82" s="2"/>
      <c r="N82" s="2"/>
    </row>
    <row r="83" spans="2:14" ht="16.5" thickBot="1">
      <c r="D83" s="27" t="s">
        <v>26</v>
      </c>
      <c r="E83" s="11">
        <v>93561.37</v>
      </c>
      <c r="F83" s="11">
        <v>58000</v>
      </c>
      <c r="G83" s="60"/>
      <c r="H83" s="2"/>
      <c r="I83" s="2"/>
      <c r="J83" s="2"/>
      <c r="K83" s="2"/>
      <c r="L83" s="2"/>
      <c r="M83" s="2"/>
      <c r="N83" s="2"/>
    </row>
    <row r="84" spans="2:14">
      <c r="B84" s="247"/>
      <c r="C84" s="5"/>
      <c r="D84" s="2"/>
      <c r="E84" s="2"/>
      <c r="F84" s="2"/>
      <c r="G84" s="2"/>
      <c r="H84" s="2"/>
      <c r="I84" s="2"/>
      <c r="J84" s="2"/>
      <c r="K84" s="2"/>
    </row>
    <row r="85" spans="2:14" ht="21">
      <c r="B85" s="6" t="s">
        <v>27</v>
      </c>
      <c r="C85" s="6"/>
      <c r="D85" s="2"/>
      <c r="E85" s="2"/>
      <c r="F85" s="2"/>
      <c r="G85" s="2"/>
      <c r="H85" s="2"/>
      <c r="I85" s="2"/>
      <c r="J85" s="2"/>
      <c r="K85" s="2"/>
    </row>
    <row r="86" spans="2:14">
      <c r="B86" s="7" t="s">
        <v>28</v>
      </c>
      <c r="C86" s="7"/>
      <c r="D86" s="2"/>
      <c r="E86" s="2"/>
      <c r="F86" s="2"/>
      <c r="G86" s="2"/>
      <c r="H86" s="2"/>
      <c r="I86" s="2"/>
      <c r="J86" s="2"/>
      <c r="K86" s="2"/>
    </row>
    <row r="87" spans="2:14" ht="16.5" thickBot="1">
      <c r="B87" s="5"/>
      <c r="C87" s="5"/>
      <c r="D87" s="2"/>
      <c r="E87" s="2"/>
      <c r="F87" s="2"/>
      <c r="G87" s="2"/>
      <c r="H87" s="2"/>
      <c r="I87" s="2"/>
      <c r="J87" s="2"/>
      <c r="K87" s="2"/>
    </row>
    <row r="88" spans="2:14" ht="16.5" thickBot="1">
      <c r="B88" s="87"/>
      <c r="C88" s="8" t="s">
        <v>332</v>
      </c>
      <c r="D88" s="216"/>
      <c r="E88" s="8" t="s">
        <v>105</v>
      </c>
      <c r="F88" s="8" t="s">
        <v>4</v>
      </c>
      <c r="G88" s="2"/>
      <c r="H88" s="2"/>
      <c r="I88" s="2"/>
      <c r="J88" s="2"/>
      <c r="K88" s="2"/>
      <c r="L88" s="2"/>
      <c r="M88" s="2"/>
      <c r="N88" s="2"/>
    </row>
    <row r="89" spans="2:14" ht="16.5" thickBot="1">
      <c r="B89" s="9" t="s">
        <v>43</v>
      </c>
      <c r="C89" s="15">
        <v>4251301</v>
      </c>
      <c r="D89" s="9" t="s">
        <v>46</v>
      </c>
      <c r="E89" s="15">
        <v>2429480</v>
      </c>
      <c r="F89" s="12"/>
      <c r="G89" s="2"/>
      <c r="H89" s="2"/>
      <c r="I89" s="2"/>
      <c r="J89" s="2"/>
      <c r="K89" s="2"/>
      <c r="L89" s="2"/>
      <c r="M89" s="2"/>
      <c r="N89" s="2"/>
    </row>
    <row r="90" spans="2:14">
      <c r="B90" s="9" t="s">
        <v>83</v>
      </c>
      <c r="C90" s="15">
        <f>364196+55573</f>
        <v>419769</v>
      </c>
      <c r="D90" s="9" t="s">
        <v>73</v>
      </c>
      <c r="E90" s="15">
        <v>585851</v>
      </c>
      <c r="F90" s="12"/>
      <c r="G90" s="2"/>
      <c r="H90" s="2"/>
      <c r="I90" s="2"/>
      <c r="J90" s="2"/>
      <c r="K90" s="2"/>
      <c r="L90" s="2"/>
      <c r="M90" s="2"/>
      <c r="N90" s="2"/>
    </row>
    <row r="91" spans="2:14" ht="16.5" thickBot="1">
      <c r="B91" s="27" t="s">
        <v>26</v>
      </c>
      <c r="C91" s="59">
        <f>SUM(C89:C90)</f>
        <v>4671070</v>
      </c>
      <c r="D91" s="19" t="s">
        <v>110</v>
      </c>
      <c r="E91" s="10">
        <f>SUM(E89:E90)</f>
        <v>3015331</v>
      </c>
      <c r="F91" s="10">
        <v>3000000</v>
      </c>
      <c r="G91" s="2"/>
      <c r="H91" s="2"/>
      <c r="I91" s="2"/>
      <c r="J91" s="2"/>
      <c r="K91" s="2"/>
      <c r="L91" s="2"/>
      <c r="M91" s="2"/>
      <c r="N91" s="2"/>
    </row>
    <row r="92" spans="2:14">
      <c r="B92" s="245"/>
      <c r="C92" s="15"/>
      <c r="D92" s="9" t="s">
        <v>36</v>
      </c>
      <c r="E92" s="15">
        <v>42630</v>
      </c>
      <c r="F92" s="12"/>
      <c r="G92" s="2"/>
      <c r="H92" s="2"/>
      <c r="I92" s="2"/>
      <c r="J92" s="2"/>
      <c r="K92" s="2"/>
      <c r="L92" s="2"/>
      <c r="M92" s="2"/>
      <c r="N92" s="2"/>
    </row>
    <row r="93" spans="2:14" ht="16.5" thickBot="1">
      <c r="D93" s="27" t="s">
        <v>26</v>
      </c>
      <c r="E93" s="59">
        <v>3057961</v>
      </c>
      <c r="F93" s="11">
        <v>3000000</v>
      </c>
      <c r="G93" s="60"/>
      <c r="H93" s="2"/>
      <c r="I93" s="2"/>
      <c r="J93" s="2"/>
      <c r="K93" s="2"/>
      <c r="L93" s="2"/>
      <c r="M93" s="2"/>
      <c r="N93" s="2"/>
    </row>
    <row r="94" spans="2:14">
      <c r="B94" s="5"/>
      <c r="C94" s="5"/>
      <c r="D94" s="2"/>
      <c r="E94" s="2"/>
      <c r="F94" s="2"/>
      <c r="G94" s="2"/>
      <c r="H94" s="2"/>
      <c r="I94" s="2"/>
      <c r="J94" s="2"/>
      <c r="K94" s="2"/>
    </row>
    <row r="95" spans="2:14" ht="21">
      <c r="B95" s="6" t="s">
        <v>81</v>
      </c>
      <c r="C95" s="6"/>
      <c r="D95" s="2"/>
      <c r="E95" s="2"/>
      <c r="F95" s="2"/>
      <c r="G95" s="2"/>
      <c r="H95" s="2"/>
      <c r="I95" s="2"/>
      <c r="J95" s="2"/>
    </row>
    <row r="96" spans="2:14">
      <c r="B96" s="7" t="s">
        <v>82</v>
      </c>
      <c r="C96" s="7"/>
      <c r="D96" s="2"/>
      <c r="E96" s="2"/>
      <c r="F96" s="2"/>
      <c r="G96" s="2"/>
      <c r="H96" s="2"/>
      <c r="I96" s="2"/>
      <c r="J96" s="2"/>
    </row>
    <row r="97" spans="2:14" ht="16.5" thickBot="1">
      <c r="B97" s="5"/>
      <c r="C97" s="5"/>
      <c r="D97" s="2"/>
      <c r="E97" s="2"/>
      <c r="F97" s="2"/>
      <c r="G97" s="2"/>
      <c r="H97" s="2"/>
      <c r="I97" s="2"/>
      <c r="J97" s="2"/>
    </row>
    <row r="98" spans="2:14">
      <c r="B98" s="210"/>
      <c r="C98" s="8" t="s">
        <v>332</v>
      </c>
      <c r="D98" s="87"/>
      <c r="E98" s="8" t="s">
        <v>105</v>
      </c>
      <c r="F98" s="8" t="s">
        <v>4</v>
      </c>
      <c r="G98" s="8" t="s">
        <v>5</v>
      </c>
      <c r="H98" s="2"/>
      <c r="I98" s="2"/>
    </row>
    <row r="99" spans="2:14">
      <c r="B99" s="9" t="s">
        <v>83</v>
      </c>
      <c r="C99" s="36">
        <f>229604022/1000000</f>
        <v>229.60402199999999</v>
      </c>
      <c r="D99" s="9" t="s">
        <v>83</v>
      </c>
      <c r="E99" s="36">
        <v>211</v>
      </c>
      <c r="F99" s="36">
        <v>155.58000000000001</v>
      </c>
      <c r="G99" s="10">
        <v>202</v>
      </c>
      <c r="H99" s="2"/>
      <c r="I99" s="2"/>
      <c r="J99" s="2"/>
      <c r="M99" s="2"/>
      <c r="N99" s="2"/>
    </row>
    <row r="100" spans="2:14">
      <c r="B100" s="9" t="s">
        <v>43</v>
      </c>
      <c r="C100" s="36">
        <f>280001859.701942/1000000</f>
        <v>280.00185970194201</v>
      </c>
      <c r="D100" s="9" t="s">
        <v>43</v>
      </c>
      <c r="E100" s="36">
        <v>400.61</v>
      </c>
      <c r="F100" s="36">
        <v>369.78</v>
      </c>
      <c r="G100" s="10">
        <v>467</v>
      </c>
      <c r="H100" s="2"/>
      <c r="I100" s="2"/>
      <c r="J100" s="2"/>
      <c r="M100" s="2"/>
    </row>
    <row r="101" spans="2:14">
      <c r="B101" s="9" t="s">
        <v>111</v>
      </c>
      <c r="C101" s="36">
        <v>0.65</v>
      </c>
      <c r="D101" s="9" t="s">
        <v>36</v>
      </c>
      <c r="E101" s="171">
        <v>12.39</v>
      </c>
      <c r="F101" s="36">
        <v>20.3</v>
      </c>
      <c r="G101" s="10">
        <v>24</v>
      </c>
      <c r="H101" s="57"/>
      <c r="J101" s="2"/>
      <c r="M101" s="2"/>
    </row>
    <row r="102" spans="2:14" ht="16.5" thickBot="1">
      <c r="B102" s="27" t="s">
        <v>11</v>
      </c>
      <c r="C102" s="38">
        <f>SUM(C99:C101)</f>
        <v>510.25588170194197</v>
      </c>
      <c r="D102" s="9" t="s">
        <v>111</v>
      </c>
      <c r="E102" s="36">
        <v>0.65</v>
      </c>
      <c r="F102" s="36" t="s">
        <v>16</v>
      </c>
      <c r="G102" s="10"/>
      <c r="H102" s="2"/>
      <c r="I102" s="2"/>
      <c r="J102" s="2"/>
    </row>
    <row r="103" spans="2:14" ht="16.5" thickBot="1">
      <c r="D103" s="27" t="s">
        <v>11</v>
      </c>
      <c r="E103" s="38">
        <v>624.65</v>
      </c>
      <c r="F103" s="38" t="s">
        <v>126</v>
      </c>
      <c r="G103" s="11">
        <v>693</v>
      </c>
      <c r="H103" s="2"/>
      <c r="I103" s="2"/>
      <c r="J103" s="2"/>
    </row>
    <row r="104" spans="2:14">
      <c r="B104" s="5"/>
      <c r="C104" s="5"/>
      <c r="D104" s="94"/>
      <c r="E104" s="2"/>
      <c r="F104" s="2"/>
      <c r="G104" s="2"/>
      <c r="H104" s="2"/>
      <c r="I104" s="2"/>
      <c r="J104" s="2"/>
    </row>
    <row r="105" spans="2:14">
      <c r="B105" s="7" t="s">
        <v>84</v>
      </c>
      <c r="C105" s="7"/>
      <c r="D105" s="2"/>
      <c r="E105" s="2"/>
      <c r="F105" s="2"/>
      <c r="G105" s="2"/>
      <c r="H105" s="2"/>
      <c r="I105" s="2"/>
      <c r="J105" s="2"/>
    </row>
    <row r="106" spans="2:14" ht="16.5" thickBot="1">
      <c r="B106" s="5"/>
      <c r="C106" s="5"/>
      <c r="D106" s="2"/>
      <c r="E106" s="2"/>
      <c r="F106" s="2"/>
      <c r="G106" s="2"/>
      <c r="H106" s="2"/>
      <c r="I106" s="2"/>
      <c r="J106" s="2"/>
    </row>
    <row r="107" spans="2:14">
      <c r="B107" s="210"/>
      <c r="C107" s="8" t="s">
        <v>332</v>
      </c>
      <c r="D107" s="87"/>
      <c r="E107" s="8" t="s">
        <v>105</v>
      </c>
      <c r="F107" s="8" t="s">
        <v>4</v>
      </c>
      <c r="G107" s="8" t="s">
        <v>5</v>
      </c>
      <c r="H107" s="2"/>
      <c r="I107" s="2"/>
    </row>
    <row r="108" spans="2:14">
      <c r="B108" s="9" t="s">
        <v>83</v>
      </c>
      <c r="C108" s="36">
        <f>2992369.39/1000000</f>
        <v>2.9923693900000004</v>
      </c>
      <c r="D108" s="9" t="s">
        <v>83</v>
      </c>
      <c r="E108" s="33">
        <v>2.87</v>
      </c>
      <c r="F108" s="36">
        <v>0.89</v>
      </c>
      <c r="G108" s="10">
        <v>0.77</v>
      </c>
      <c r="H108" s="2"/>
      <c r="I108" s="2"/>
      <c r="J108" s="2"/>
      <c r="M108" s="2"/>
    </row>
    <row r="109" spans="2:14">
      <c r="B109" s="9" t="s">
        <v>43</v>
      </c>
      <c r="C109" s="36">
        <f>6881980/1000000</f>
        <v>6.8819800000000004</v>
      </c>
      <c r="D109" s="9" t="s">
        <v>43</v>
      </c>
      <c r="E109" s="33">
        <v>8.9499999999999993</v>
      </c>
      <c r="F109" s="36">
        <v>8.2899999999999991</v>
      </c>
      <c r="G109" s="10">
        <v>16.11</v>
      </c>
      <c r="H109" s="2"/>
      <c r="I109" s="2"/>
      <c r="J109" s="2"/>
      <c r="M109" s="2"/>
    </row>
    <row r="110" spans="2:14">
      <c r="B110" s="9" t="s">
        <v>111</v>
      </c>
      <c r="C110" s="36">
        <f>283905.75/1000000</f>
        <v>0.28390575000000001</v>
      </c>
      <c r="D110" s="9" t="s">
        <v>36</v>
      </c>
      <c r="E110" s="90">
        <v>0.46</v>
      </c>
      <c r="F110" s="36">
        <v>5.76</v>
      </c>
      <c r="G110" s="10">
        <v>0.04</v>
      </c>
      <c r="H110" s="57"/>
      <c r="I110" s="2"/>
      <c r="J110" s="2"/>
      <c r="M110" s="2"/>
    </row>
    <row r="111" spans="2:14" ht="16.5" thickBot="1">
      <c r="B111" s="27" t="s">
        <v>11</v>
      </c>
      <c r="C111" s="38">
        <f>SUM(C108:C110)</f>
        <v>10.158255140000001</v>
      </c>
      <c r="D111" s="9" t="s">
        <v>111</v>
      </c>
      <c r="E111" s="33">
        <v>0.28000000000000003</v>
      </c>
      <c r="F111" s="36">
        <v>0.27</v>
      </c>
      <c r="G111" s="10" t="s">
        <v>16</v>
      </c>
      <c r="H111" s="2"/>
      <c r="I111" s="2"/>
      <c r="J111" s="2"/>
      <c r="M111" s="2"/>
      <c r="N111" s="2"/>
    </row>
    <row r="112" spans="2:14" ht="16.5" thickBot="1">
      <c r="D112" s="27" t="s">
        <v>11</v>
      </c>
      <c r="E112" s="61">
        <v>12.56</v>
      </c>
      <c r="F112" s="38">
        <v>15.2</v>
      </c>
      <c r="G112" s="11">
        <v>16.920000000000002</v>
      </c>
      <c r="H112" s="2"/>
      <c r="I112" s="2"/>
      <c r="J112" s="2"/>
      <c r="M112" s="2"/>
      <c r="N112" s="2"/>
    </row>
    <row r="113" spans="2:13">
      <c r="B113" s="50"/>
      <c r="C113" s="50"/>
      <c r="D113" s="2"/>
      <c r="E113" s="2"/>
      <c r="F113" s="2"/>
      <c r="G113" s="2"/>
      <c r="H113" s="2"/>
      <c r="I113" s="2"/>
      <c r="J113" s="2"/>
      <c r="K113" s="2"/>
      <c r="L113" s="2"/>
    </row>
    <row r="114" spans="2:13">
      <c r="B114" s="7" t="s">
        <v>85</v>
      </c>
      <c r="C114" s="7"/>
      <c r="D114" s="2"/>
      <c r="E114" s="2"/>
      <c r="F114" s="2"/>
      <c r="G114" s="2"/>
      <c r="H114" s="2"/>
      <c r="I114" s="2"/>
      <c r="J114" s="2"/>
      <c r="K114" s="2"/>
      <c r="L114" s="2"/>
    </row>
    <row r="115" spans="2:13" ht="16.5" thickBot="1">
      <c r="B115" s="5"/>
      <c r="C115" s="5"/>
      <c r="D115" s="2"/>
      <c r="E115" s="2"/>
      <c r="F115" s="2"/>
      <c r="G115" s="2"/>
      <c r="H115" s="2"/>
      <c r="I115" s="2"/>
      <c r="J115" s="2"/>
      <c r="K115" s="2"/>
      <c r="L115" s="2"/>
    </row>
    <row r="116" spans="2:13">
      <c r="B116" s="210"/>
      <c r="C116" s="8" t="s">
        <v>332</v>
      </c>
      <c r="D116" s="87"/>
      <c r="E116" s="8" t="s">
        <v>105</v>
      </c>
      <c r="F116" s="8" t="s">
        <v>4</v>
      </c>
      <c r="G116" s="2"/>
      <c r="H116" s="2"/>
      <c r="I116" s="2"/>
      <c r="J116" s="2"/>
      <c r="K116" s="2"/>
      <c r="L116" s="2"/>
      <c r="M116" s="2"/>
    </row>
    <row r="117" spans="2:13">
      <c r="B117" s="9" t="s">
        <v>83</v>
      </c>
      <c r="C117" s="36">
        <f>91639466.9428571/1000000</f>
        <v>91.639466942857098</v>
      </c>
      <c r="D117" s="9" t="s">
        <v>83</v>
      </c>
      <c r="E117" s="90">
        <v>80.77</v>
      </c>
      <c r="F117" s="90">
        <v>118.21</v>
      </c>
      <c r="G117" s="2"/>
      <c r="H117" s="86"/>
      <c r="I117" s="86"/>
      <c r="J117" s="81"/>
      <c r="K117" s="2"/>
      <c r="L117" s="2"/>
      <c r="M117" s="2"/>
    </row>
    <row r="118" spans="2:13">
      <c r="B118" s="9" t="s">
        <v>43</v>
      </c>
      <c r="C118" s="36">
        <f>25003026.9427113/1000000</f>
        <v>25.003026942711301</v>
      </c>
      <c r="D118" s="9" t="s">
        <v>43</v>
      </c>
      <c r="E118" s="90">
        <v>58.84</v>
      </c>
      <c r="F118" s="90">
        <v>72.510000000000005</v>
      </c>
      <c r="G118" s="2"/>
      <c r="H118" s="2"/>
      <c r="I118" s="2"/>
      <c r="J118" s="2"/>
      <c r="K118" s="2"/>
      <c r="L118" s="2"/>
      <c r="M118" s="2"/>
    </row>
    <row r="119" spans="2:13" ht="16.5" thickBot="1">
      <c r="B119" s="27" t="s">
        <v>11</v>
      </c>
      <c r="C119" s="38">
        <f>SUM(C117:C118)</f>
        <v>116.6424938855684</v>
      </c>
      <c r="D119" s="9" t="s">
        <v>36</v>
      </c>
      <c r="E119" s="90">
        <v>3.26</v>
      </c>
      <c r="F119" s="90">
        <v>3.86</v>
      </c>
      <c r="G119" s="2"/>
      <c r="H119" s="2"/>
      <c r="I119" s="2"/>
      <c r="J119" s="2"/>
      <c r="K119" s="2"/>
      <c r="L119" s="2"/>
      <c r="M119" s="2"/>
    </row>
    <row r="120" spans="2:13" ht="16.5" thickBot="1">
      <c r="D120" s="27" t="s">
        <v>11</v>
      </c>
      <c r="E120" s="91">
        <v>142.87</v>
      </c>
      <c r="F120" s="38">
        <v>194.58</v>
      </c>
      <c r="G120" s="60"/>
      <c r="H120" s="2"/>
      <c r="I120" s="2"/>
      <c r="J120" s="2"/>
      <c r="K120" s="2"/>
      <c r="L120" s="2"/>
      <c r="M120" s="2"/>
    </row>
    <row r="121" spans="2:13">
      <c r="D121" s="5"/>
      <c r="E121" s="92"/>
      <c r="F121" s="93"/>
      <c r="G121" s="2"/>
      <c r="H121" s="2"/>
      <c r="I121" s="2"/>
      <c r="J121" s="2"/>
      <c r="K121" s="2"/>
      <c r="L121" s="2"/>
      <c r="M121" s="2"/>
    </row>
    <row r="122" spans="2:13">
      <c r="B122" s="7" t="s">
        <v>86</v>
      </c>
      <c r="C122" s="7"/>
      <c r="D122" s="2"/>
      <c r="E122" s="2"/>
      <c r="F122" s="2"/>
      <c r="G122" s="2"/>
      <c r="H122" s="2"/>
      <c r="I122" s="2"/>
      <c r="J122" s="2"/>
      <c r="K122" s="2"/>
    </row>
    <row r="123" spans="2:13" ht="16.5" thickBot="1">
      <c r="B123" s="5"/>
      <c r="C123" s="5"/>
      <c r="D123" s="2"/>
      <c r="E123" s="2"/>
      <c r="F123" s="2"/>
      <c r="G123" s="2"/>
      <c r="H123" s="2"/>
      <c r="I123" s="2"/>
      <c r="J123" s="2"/>
      <c r="K123" s="2"/>
    </row>
    <row r="124" spans="2:13">
      <c r="B124" s="210"/>
      <c r="C124" s="8" t="s">
        <v>332</v>
      </c>
      <c r="D124" s="87"/>
      <c r="E124" s="8" t="s">
        <v>105</v>
      </c>
      <c r="F124" s="2"/>
      <c r="G124" s="2"/>
      <c r="H124" s="2"/>
      <c r="I124" s="2"/>
      <c r="J124" s="2"/>
      <c r="K124" s="2"/>
      <c r="L124" s="2"/>
    </row>
    <row r="125" spans="2:13">
      <c r="B125" s="9" t="s">
        <v>83</v>
      </c>
      <c r="C125" s="36">
        <f>29810/1000000</f>
        <v>2.981E-2</v>
      </c>
      <c r="D125" s="9" t="s">
        <v>83</v>
      </c>
      <c r="E125" s="36">
        <v>0.04</v>
      </c>
      <c r="F125" s="2"/>
      <c r="G125" s="2"/>
      <c r="H125" s="2"/>
      <c r="I125" s="2"/>
      <c r="J125" s="2"/>
      <c r="K125" s="2"/>
      <c r="L125" s="2"/>
    </row>
    <row r="126" spans="2:13">
      <c r="B126" s="9" t="s">
        <v>43</v>
      </c>
      <c r="C126" s="36"/>
      <c r="D126" s="9" t="s">
        <v>43</v>
      </c>
      <c r="E126" s="36" t="s">
        <v>16</v>
      </c>
      <c r="F126" s="2"/>
      <c r="G126" s="2"/>
      <c r="H126" s="2"/>
      <c r="I126" s="2"/>
      <c r="J126" s="2"/>
      <c r="K126" s="2"/>
      <c r="L126" s="2"/>
    </row>
    <row r="127" spans="2:13" ht="16.5" thickBot="1">
      <c r="B127" s="27" t="s">
        <v>11</v>
      </c>
      <c r="C127" s="38">
        <f>SUM(C125:C126)</f>
        <v>2.981E-2</v>
      </c>
      <c r="D127" s="9" t="s">
        <v>36</v>
      </c>
      <c r="E127" s="36" t="s">
        <v>16</v>
      </c>
      <c r="F127" s="2"/>
      <c r="G127" s="2"/>
      <c r="H127" s="2"/>
      <c r="I127" s="2"/>
      <c r="J127" s="2"/>
      <c r="K127" s="2"/>
      <c r="L127" s="2"/>
    </row>
    <row r="128" spans="2:13" ht="16.5" thickBot="1">
      <c r="D128" s="27" t="s">
        <v>11</v>
      </c>
      <c r="E128" s="61">
        <v>0.04</v>
      </c>
      <c r="F128" s="60"/>
      <c r="G128" s="2"/>
      <c r="H128" s="2"/>
      <c r="I128" s="2"/>
      <c r="J128" s="2"/>
      <c r="K128" s="2"/>
      <c r="L128" s="2"/>
    </row>
    <row r="129" spans="2:13"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>
      <c r="B130" s="2"/>
      <c r="C130" s="2"/>
      <c r="D130" s="2"/>
      <c r="E130" s="2"/>
      <c r="F130" s="2"/>
      <c r="G130" s="2"/>
      <c r="H130" s="2"/>
      <c r="I130" s="2"/>
      <c r="J130" s="2"/>
    </row>
    <row r="131" spans="2:13" ht="18.75">
      <c r="B131" s="28" t="s">
        <v>47</v>
      </c>
      <c r="C131" s="28"/>
      <c r="D131" s="2"/>
      <c r="E131" s="2"/>
      <c r="F131" s="2"/>
      <c r="G131" s="2"/>
      <c r="H131" s="2"/>
      <c r="I131" s="2"/>
      <c r="J131" s="2"/>
    </row>
    <row r="132" spans="2:13">
      <c r="B132" s="5"/>
      <c r="C132" s="5"/>
      <c r="D132" s="2"/>
      <c r="E132" s="2"/>
      <c r="F132" s="2"/>
      <c r="G132" s="2"/>
      <c r="H132" s="2"/>
      <c r="I132" s="2"/>
      <c r="J132" s="2"/>
    </row>
    <row r="133" spans="2:13">
      <c r="B133" s="7" t="s">
        <v>48</v>
      </c>
      <c r="C133" s="4"/>
      <c r="D133" s="2"/>
      <c r="E133" s="2"/>
      <c r="F133" s="2"/>
      <c r="G133" s="2"/>
      <c r="H133" s="2"/>
      <c r="I133" s="2"/>
      <c r="J133" s="2"/>
    </row>
    <row r="134" spans="2:13" ht="16.5" thickBot="1">
      <c r="C134" s="5"/>
      <c r="D134" s="57"/>
      <c r="E134" s="2"/>
      <c r="F134" s="2"/>
      <c r="G134" s="2"/>
      <c r="H134" s="2"/>
    </row>
    <row r="135" spans="2:13" ht="30">
      <c r="B135" s="210"/>
      <c r="C135" s="8" t="s">
        <v>332</v>
      </c>
      <c r="D135" s="87"/>
      <c r="E135" s="8" t="s">
        <v>105</v>
      </c>
      <c r="F135" s="8" t="s">
        <v>135</v>
      </c>
      <c r="G135" s="8" t="s">
        <v>134</v>
      </c>
      <c r="H135" s="8" t="s">
        <v>5</v>
      </c>
      <c r="I135" s="210"/>
      <c r="J135" s="8" t="s">
        <v>49</v>
      </c>
    </row>
    <row r="136" spans="2:13">
      <c r="B136" s="19" t="s">
        <v>26</v>
      </c>
      <c r="C136" s="77">
        <f>109679.350601713/1000</f>
        <v>109.679350601713</v>
      </c>
      <c r="D136" s="19" t="s">
        <v>26</v>
      </c>
      <c r="E136" s="77">
        <f>SUM(E137:E140)</f>
        <v>120.75928733606402</v>
      </c>
      <c r="F136" s="77">
        <f>SUM(F137:F140)</f>
        <v>122.51529640402924</v>
      </c>
      <c r="G136" s="13">
        <f>SUM(G137:G140)</f>
        <v>132.30000000000001</v>
      </c>
      <c r="H136" s="39" t="s">
        <v>50</v>
      </c>
      <c r="I136" s="19" t="s">
        <v>26</v>
      </c>
      <c r="J136" s="32">
        <v>123.54</v>
      </c>
    </row>
    <row r="137" spans="2:13">
      <c r="B137" s="9" t="s">
        <v>34</v>
      </c>
      <c r="C137" s="78">
        <f>90751.2851063145/1000</f>
        <v>90.751285106314512</v>
      </c>
      <c r="D137" s="9" t="s">
        <v>34</v>
      </c>
      <c r="E137" s="78">
        <v>95.709614207088251</v>
      </c>
      <c r="F137" s="78">
        <v>96.245919387537327</v>
      </c>
      <c r="G137" s="14">
        <v>105.65</v>
      </c>
      <c r="H137" s="16" t="s">
        <v>51</v>
      </c>
      <c r="I137" s="9" t="s">
        <v>34</v>
      </c>
      <c r="J137" s="16">
        <v>54.79</v>
      </c>
      <c r="M137" s="2"/>
    </row>
    <row r="138" spans="2:13">
      <c r="B138" s="9" t="s">
        <v>35</v>
      </c>
      <c r="C138" s="78">
        <f>13520.8812105423/1000</f>
        <v>13.520881210542301</v>
      </c>
      <c r="D138" s="9" t="s">
        <v>35</v>
      </c>
      <c r="E138" s="78">
        <v>19.164962679190896</v>
      </c>
      <c r="F138" s="78">
        <v>20.439664016491921</v>
      </c>
      <c r="G138" s="14">
        <v>19.53</v>
      </c>
      <c r="H138" s="16">
        <v>19.138999999999999</v>
      </c>
      <c r="I138" s="9" t="s">
        <v>35</v>
      </c>
      <c r="J138" s="16">
        <v>20.12</v>
      </c>
      <c r="M138" s="2"/>
    </row>
    <row r="139" spans="2:13" ht="16.5" thickBot="1">
      <c r="B139" s="24" t="s">
        <v>111</v>
      </c>
      <c r="C139" s="248">
        <f>1428.00269107356/1000</f>
        <v>1.4280026910735601</v>
      </c>
      <c r="D139" s="9" t="s">
        <v>36</v>
      </c>
      <c r="E139" s="78">
        <v>4.456425775550791</v>
      </c>
      <c r="F139" s="78">
        <v>4.3778045000000008</v>
      </c>
      <c r="G139" s="14">
        <v>5.54</v>
      </c>
      <c r="H139" s="16" t="s">
        <v>53</v>
      </c>
      <c r="I139" s="9" t="s">
        <v>36</v>
      </c>
      <c r="J139" s="16">
        <v>3.74</v>
      </c>
    </row>
    <row r="140" spans="2:13" ht="16.5" thickBot="1">
      <c r="C140" s="78"/>
      <c r="D140" s="24" t="s">
        <v>111</v>
      </c>
      <c r="E140" s="79">
        <v>1.4282846742340927</v>
      </c>
      <c r="F140" s="79">
        <v>1.4519085000000003</v>
      </c>
      <c r="G140" s="35">
        <v>1.58</v>
      </c>
      <c r="H140" s="20">
        <v>2</v>
      </c>
      <c r="I140" s="9" t="s">
        <v>111</v>
      </c>
      <c r="J140" s="16">
        <v>0.11</v>
      </c>
    </row>
    <row r="141" spans="2:13" ht="30" customHeight="1" thickBot="1">
      <c r="B141" s="2"/>
      <c r="C141" s="112"/>
      <c r="H141" s="78"/>
      <c r="I141" s="24" t="s">
        <v>44</v>
      </c>
      <c r="J141" s="24">
        <v>44.78</v>
      </c>
    </row>
    <row r="142" spans="2:13">
      <c r="B142" s="5"/>
      <c r="C142" s="5"/>
      <c r="D142" s="2"/>
      <c r="E142" s="2"/>
      <c r="F142" s="2"/>
      <c r="G142" s="2"/>
      <c r="H142" s="2"/>
      <c r="I142" s="2"/>
      <c r="J142" s="2"/>
    </row>
    <row r="143" spans="2:13">
      <c r="B143" s="7" t="s">
        <v>55</v>
      </c>
      <c r="C143" s="7"/>
      <c r="D143" s="2"/>
      <c r="E143" s="2"/>
      <c r="F143" s="2"/>
      <c r="G143" s="2"/>
      <c r="H143" s="2"/>
      <c r="I143" s="2"/>
      <c r="J143" s="2"/>
    </row>
    <row r="144" spans="2:13" ht="16.5" thickBot="1">
      <c r="B144" s="5"/>
      <c r="C144" s="5"/>
      <c r="D144" s="57"/>
      <c r="E144" s="2"/>
      <c r="F144" s="2"/>
      <c r="G144" s="2"/>
      <c r="H144" s="2"/>
    </row>
    <row r="145" spans="2:14" ht="30">
      <c r="B145" s="87"/>
      <c r="C145" s="8" t="s">
        <v>332</v>
      </c>
      <c r="D145" s="216"/>
      <c r="E145" s="8" t="s">
        <v>105</v>
      </c>
      <c r="F145" s="8" t="s">
        <v>135</v>
      </c>
      <c r="G145" s="8" t="s">
        <v>134</v>
      </c>
      <c r="H145" s="8" t="s">
        <v>5</v>
      </c>
      <c r="I145" s="212"/>
      <c r="J145" s="8" t="s">
        <v>56</v>
      </c>
    </row>
    <row r="146" spans="2:14" ht="30">
      <c r="B146" s="19" t="s">
        <v>26</v>
      </c>
      <c r="C146" s="80">
        <v>1185.595569135239</v>
      </c>
      <c r="D146" s="19" t="s">
        <v>26</v>
      </c>
      <c r="E146" s="80">
        <f>SUM(E147:E150)</f>
        <v>1468.0926355798863</v>
      </c>
      <c r="F146" s="77">
        <f>SUM(F147:F150)</f>
        <v>1552.0028826768105</v>
      </c>
      <c r="G146" s="45">
        <v>1163.9114852996252</v>
      </c>
      <c r="H146" s="41" t="s">
        <v>319</v>
      </c>
      <c r="I146" s="19" t="s">
        <v>26</v>
      </c>
      <c r="J146" s="41">
        <v>1310.83</v>
      </c>
    </row>
    <row r="147" spans="2:14">
      <c r="B147" s="9" t="s">
        <v>34</v>
      </c>
      <c r="C147" s="75">
        <v>979.63456860444148</v>
      </c>
      <c r="D147" s="9" t="s">
        <v>34</v>
      </c>
      <c r="E147" s="75">
        <v>1178.8257906415058</v>
      </c>
      <c r="F147" s="75">
        <v>1205.64199565491</v>
      </c>
      <c r="G147" s="42">
        <v>855.52869577703905</v>
      </c>
      <c r="H147" s="16">
        <v>911.02</v>
      </c>
      <c r="I147" s="9" t="s">
        <v>34</v>
      </c>
      <c r="J147" s="16">
        <v>554.35500000000002</v>
      </c>
      <c r="M147" s="2"/>
    </row>
    <row r="148" spans="2:14">
      <c r="B148" s="9" t="s">
        <v>35</v>
      </c>
      <c r="C148" s="75">
        <v>143.94282189249762</v>
      </c>
      <c r="D148" s="9" t="s">
        <v>35</v>
      </c>
      <c r="E148" s="75">
        <v>214.65268223176753</v>
      </c>
      <c r="F148" s="75">
        <v>227.97548598991031</v>
      </c>
      <c r="G148" s="42">
        <v>224.7401087803764</v>
      </c>
      <c r="H148" s="16">
        <v>219.29599999999999</v>
      </c>
      <c r="I148" s="9" t="s">
        <v>35</v>
      </c>
      <c r="J148" s="16">
        <v>231.94</v>
      </c>
      <c r="M148" s="2"/>
      <c r="N148" s="2"/>
    </row>
    <row r="149" spans="2:14" ht="16.5" thickBot="1">
      <c r="B149" s="24" t="s">
        <v>111</v>
      </c>
      <c r="C149" s="76">
        <v>12</v>
      </c>
      <c r="D149" s="9" t="s">
        <v>36</v>
      </c>
      <c r="E149" s="75">
        <v>64.571596846216934</v>
      </c>
      <c r="F149" s="75">
        <v>59.192700515995135</v>
      </c>
      <c r="G149" s="42">
        <v>73.376254778217771</v>
      </c>
      <c r="H149" s="16" t="s">
        <v>57</v>
      </c>
      <c r="I149" s="9" t="s">
        <v>36</v>
      </c>
      <c r="J149" s="16">
        <v>46.53</v>
      </c>
    </row>
    <row r="150" spans="2:14" ht="16.5" thickBot="1">
      <c r="D150" s="24" t="s">
        <v>111</v>
      </c>
      <c r="E150" s="76">
        <v>10.042565860395998</v>
      </c>
      <c r="F150" s="76">
        <v>59.192700515995135</v>
      </c>
      <c r="G150" s="43">
        <v>10.266425963991784</v>
      </c>
      <c r="H150" s="20">
        <v>12.86</v>
      </c>
      <c r="I150" s="9" t="s">
        <v>111</v>
      </c>
      <c r="J150" s="16">
        <v>0.46</v>
      </c>
    </row>
    <row r="151" spans="2:14" ht="16.5" thickBot="1">
      <c r="B151" s="21"/>
      <c r="C151" s="21"/>
      <c r="D151" s="21"/>
      <c r="E151" s="21"/>
      <c r="F151" s="21"/>
      <c r="I151" s="24" t="s">
        <v>44</v>
      </c>
      <c r="J151" s="24">
        <v>478.01</v>
      </c>
      <c r="K151" s="2"/>
      <c r="L151" s="2"/>
    </row>
    <row r="152" spans="2:14">
      <c r="B152" s="21"/>
      <c r="C152" s="5"/>
      <c r="D152" s="21"/>
      <c r="E152" s="21"/>
      <c r="F152" s="21"/>
      <c r="G152" s="21"/>
      <c r="H152" s="21"/>
      <c r="I152" s="2"/>
      <c r="J152" s="2"/>
      <c r="K152" s="2"/>
    </row>
    <row r="153" spans="2:14" ht="16.5" thickBot="1">
      <c r="B153" s="7" t="s">
        <v>128</v>
      </c>
      <c r="C153" s="7"/>
      <c r="D153" s="2"/>
      <c r="E153" s="2"/>
      <c r="F153" s="2"/>
      <c r="G153" s="2"/>
      <c r="H153" s="2"/>
      <c r="I153" s="2"/>
      <c r="J153" s="2"/>
      <c r="K153" s="2"/>
    </row>
    <row r="154" spans="2:14" ht="16.5" thickBot="1">
      <c r="B154" s="213" t="s">
        <v>332</v>
      </c>
      <c r="C154" s="12" t="s">
        <v>357</v>
      </c>
      <c r="D154" s="12" t="s">
        <v>4</v>
      </c>
      <c r="E154" s="12" t="s">
        <v>5</v>
      </c>
      <c r="F154" s="2"/>
      <c r="G154" s="2"/>
      <c r="H154" s="2"/>
      <c r="L154" s="2"/>
    </row>
    <row r="155" spans="2:14" ht="16.5" thickBot="1">
      <c r="B155" s="249">
        <v>0.2</v>
      </c>
      <c r="C155" s="250" t="s">
        <v>358</v>
      </c>
      <c r="D155" s="95">
        <v>0.18</v>
      </c>
      <c r="E155" s="120" t="s">
        <v>140</v>
      </c>
      <c r="F155" s="2"/>
      <c r="G155" s="2"/>
      <c r="H155" s="2"/>
      <c r="L155" s="2"/>
    </row>
    <row r="156" spans="2:14">
      <c r="B156" s="5"/>
      <c r="C156" s="5"/>
      <c r="D156" s="2"/>
      <c r="E156" s="2"/>
      <c r="F156" s="2"/>
      <c r="G156" s="2"/>
      <c r="H156" s="2"/>
      <c r="I156" s="2"/>
      <c r="J156" s="2"/>
      <c r="K156" s="2"/>
    </row>
    <row r="157" spans="2:14">
      <c r="B157" s="7" t="s">
        <v>64</v>
      </c>
      <c r="C157" s="7"/>
      <c r="D157" s="2"/>
      <c r="E157" s="2"/>
      <c r="F157" s="2"/>
      <c r="G157" s="2"/>
      <c r="H157" s="2"/>
      <c r="I157" s="2"/>
      <c r="J157" s="2"/>
      <c r="K157" s="2"/>
    </row>
    <row r="158" spans="2:14" ht="16.5" thickBot="1">
      <c r="B158" s="5"/>
      <c r="C158" s="5"/>
      <c r="D158" s="2"/>
      <c r="E158" s="2"/>
      <c r="F158" s="2"/>
      <c r="G158" s="2"/>
      <c r="H158" s="2"/>
      <c r="I158" s="2"/>
      <c r="J158" s="2"/>
      <c r="K158" s="2"/>
    </row>
    <row r="159" spans="2:14">
      <c r="B159" s="266" t="s">
        <v>12</v>
      </c>
      <c r="C159" s="266"/>
      <c r="D159" s="268" t="s">
        <v>11</v>
      </c>
      <c r="E159" s="269"/>
      <c r="F159" s="268" t="s">
        <v>65</v>
      </c>
      <c r="G159" s="269"/>
      <c r="H159" s="268" t="s">
        <v>66</v>
      </c>
      <c r="I159" s="270"/>
      <c r="J159" s="2"/>
      <c r="K159" s="2"/>
    </row>
    <row r="160" spans="2:14">
      <c r="B160" s="267"/>
      <c r="C160" s="267"/>
      <c r="D160" s="17" t="s">
        <v>67</v>
      </c>
      <c r="E160" s="17" t="s">
        <v>68</v>
      </c>
      <c r="F160" s="17" t="s">
        <v>67</v>
      </c>
      <c r="G160" s="44" t="s">
        <v>68</v>
      </c>
      <c r="H160" s="17" t="s">
        <v>67</v>
      </c>
      <c r="I160" s="17" t="s">
        <v>68</v>
      </c>
      <c r="J160" s="18"/>
      <c r="K160" s="2"/>
    </row>
    <row r="161" spans="2:11">
      <c r="B161" s="19" t="s">
        <v>332</v>
      </c>
      <c r="C161" s="13" t="s">
        <v>26</v>
      </c>
      <c r="D161" s="45">
        <f t="shared" ref="D161:I161" si="0">SUM(D163:D168)</f>
        <v>109.68001537254416</v>
      </c>
      <c r="E161" s="45">
        <f t="shared" si="0"/>
        <v>1197.9999999999998</v>
      </c>
      <c r="F161" s="45">
        <f t="shared" si="0"/>
        <v>64.397536464485526</v>
      </c>
      <c r="G161" s="45">
        <f t="shared" si="0"/>
        <v>918</v>
      </c>
      <c r="H161" s="45">
        <f t="shared" si="0"/>
        <v>45.282478908058614</v>
      </c>
      <c r="I161" s="45">
        <f t="shared" si="0"/>
        <v>280</v>
      </c>
    </row>
    <row r="162" spans="2:11">
      <c r="B162" s="19"/>
      <c r="C162" s="14" t="s">
        <v>42</v>
      </c>
      <c r="D162" s="45">
        <f t="shared" ref="D162:I162" si="1">SUM(D163:D165)</f>
        <v>90.390015372544156</v>
      </c>
      <c r="E162" s="45">
        <f t="shared" si="1"/>
        <v>1038.5999999999999</v>
      </c>
      <c r="F162" s="45">
        <f t="shared" si="1"/>
        <v>57.483536464485525</v>
      </c>
      <c r="G162" s="45">
        <f t="shared" si="1"/>
        <v>830</v>
      </c>
      <c r="H162" s="45">
        <f t="shared" si="1"/>
        <v>32.906478908058617</v>
      </c>
      <c r="I162" s="45">
        <f t="shared" si="1"/>
        <v>208.6</v>
      </c>
      <c r="J162" s="2"/>
    </row>
    <row r="163" spans="2:11">
      <c r="B163" s="19"/>
      <c r="C163" s="14" t="s">
        <v>8</v>
      </c>
      <c r="D163" s="46">
        <f>F163+H163</f>
        <v>54.213999999999999</v>
      </c>
      <c r="E163" s="46">
        <f t="shared" ref="E163:E167" si="2">SUM(G163,I163)</f>
        <v>692.5</v>
      </c>
      <c r="F163" s="46">
        <f>42113/1000</f>
        <v>42.113</v>
      </c>
      <c r="G163" s="46">
        <v>577</v>
      </c>
      <c r="H163" s="46">
        <f>12101/1000</f>
        <v>12.101000000000001</v>
      </c>
      <c r="I163" s="46">
        <v>115.5</v>
      </c>
      <c r="J163" s="2"/>
    </row>
    <row r="164" spans="2:11">
      <c r="B164" s="19"/>
      <c r="C164" s="14" t="s">
        <v>69</v>
      </c>
      <c r="D164" s="46">
        <f t="shared" ref="D164:D167" si="3">F164+H164</f>
        <v>16.45555299796677</v>
      </c>
      <c r="E164" s="46">
        <f t="shared" si="2"/>
        <v>204.6</v>
      </c>
      <c r="F164" s="46">
        <f>9509.89494824505/1000</f>
        <v>9.5098949482450497</v>
      </c>
      <c r="G164" s="46">
        <v>172</v>
      </c>
      <c r="H164" s="46">
        <f>6945.65804972172/1000</f>
        <v>6.94565804972172</v>
      </c>
      <c r="I164" s="46">
        <v>32.6</v>
      </c>
      <c r="J164" s="2"/>
    </row>
    <row r="165" spans="2:11">
      <c r="B165" s="19"/>
      <c r="C165" s="14" t="s">
        <v>10</v>
      </c>
      <c r="D165" s="46">
        <f t="shared" si="3"/>
        <v>19.72046237457738</v>
      </c>
      <c r="E165" s="46">
        <f t="shared" si="2"/>
        <v>141.5</v>
      </c>
      <c r="F165" s="46">
        <f>5860.64151624048/1000</f>
        <v>5.8606415162404799</v>
      </c>
      <c r="G165" s="46">
        <v>81</v>
      </c>
      <c r="H165" s="46">
        <f>13859.8208583369/1000</f>
        <v>13.859820858336899</v>
      </c>
      <c r="I165" s="46">
        <v>60.5</v>
      </c>
      <c r="J165" s="2"/>
    </row>
    <row r="166" spans="2:11">
      <c r="B166" s="19"/>
      <c r="C166" s="14" t="s">
        <v>43</v>
      </c>
      <c r="D166" s="46">
        <f t="shared" si="3"/>
        <v>13.521000000000001</v>
      </c>
      <c r="E166" s="46">
        <f t="shared" si="2"/>
        <v>141.10000000000002</v>
      </c>
      <c r="F166" s="46">
        <f>4710/1000</f>
        <v>4.71</v>
      </c>
      <c r="G166" s="46">
        <v>83.9</v>
      </c>
      <c r="H166" s="46">
        <f>8811/1000</f>
        <v>8.8109999999999999</v>
      </c>
      <c r="I166" s="46">
        <v>57.2</v>
      </c>
      <c r="J166" s="2"/>
    </row>
    <row r="167" spans="2:11" ht="16.5" thickBot="1">
      <c r="B167" s="19"/>
      <c r="C167" s="14" t="s">
        <v>111</v>
      </c>
      <c r="D167" s="259">
        <f t="shared" si="3"/>
        <v>5.7690000000000001</v>
      </c>
      <c r="E167" s="259">
        <f t="shared" si="2"/>
        <v>18.299999999999997</v>
      </c>
      <c r="F167" s="259">
        <f>2204/1000</f>
        <v>2.2040000000000002</v>
      </c>
      <c r="G167" s="259">
        <v>4.0999999999999996</v>
      </c>
      <c r="H167" s="259">
        <f>(2137+1428)/1000</f>
        <v>3.5649999999999999</v>
      </c>
      <c r="I167" s="259">
        <f>4.7+9.5</f>
        <v>14.2</v>
      </c>
      <c r="J167" s="2"/>
    </row>
    <row r="168" spans="2:11" ht="16.5" hidden="1" thickBot="1">
      <c r="B168" s="19"/>
      <c r="C168" s="14"/>
      <c r="D168" s="46"/>
      <c r="E168" s="46"/>
      <c r="F168" s="46"/>
      <c r="G168" s="46"/>
      <c r="H168" s="46"/>
      <c r="I168" s="46"/>
      <c r="J168" s="2"/>
    </row>
    <row r="169" spans="2:11">
      <c r="B169" s="160" t="s">
        <v>105</v>
      </c>
      <c r="C169" s="161" t="s">
        <v>26</v>
      </c>
      <c r="D169" s="162">
        <v>120.76</v>
      </c>
      <c r="E169" s="162">
        <v>1468.09</v>
      </c>
      <c r="F169" s="162">
        <v>78.94</v>
      </c>
      <c r="G169" s="162">
        <v>1151.5</v>
      </c>
      <c r="H169" s="162">
        <v>41.82</v>
      </c>
      <c r="I169" s="163">
        <v>316.58999999999997</v>
      </c>
      <c r="J169" s="200"/>
    </row>
    <row r="170" spans="2:11">
      <c r="B170" s="19"/>
      <c r="C170" s="14" t="s">
        <v>42</v>
      </c>
      <c r="D170" s="45">
        <v>95.71</v>
      </c>
      <c r="E170" s="45">
        <v>1178.83</v>
      </c>
      <c r="F170" s="45">
        <v>69.17</v>
      </c>
      <c r="G170" s="45">
        <v>967</v>
      </c>
      <c r="H170" s="45">
        <v>26.54</v>
      </c>
      <c r="I170" s="45">
        <v>211.83</v>
      </c>
      <c r="J170" s="2"/>
    </row>
    <row r="171" spans="2:11">
      <c r="B171" s="19"/>
      <c r="C171" s="14" t="s">
        <v>8</v>
      </c>
      <c r="D171" s="46">
        <v>59.78</v>
      </c>
      <c r="E171" s="46">
        <v>816.91</v>
      </c>
      <c r="F171" s="46">
        <v>46.66</v>
      </c>
      <c r="G171" s="46">
        <v>700.01</v>
      </c>
      <c r="H171" s="46">
        <v>13.12</v>
      </c>
      <c r="I171" s="46">
        <v>116.9</v>
      </c>
      <c r="J171" s="2"/>
    </row>
    <row r="172" spans="2:11">
      <c r="B172" s="19"/>
      <c r="C172" s="14" t="s">
        <v>69</v>
      </c>
      <c r="D172" s="46">
        <v>15.1</v>
      </c>
      <c r="E172" s="46">
        <v>195.92</v>
      </c>
      <c r="F172" s="46">
        <v>8.6999999999999993</v>
      </c>
      <c r="G172" s="46">
        <v>162.82</v>
      </c>
      <c r="H172" s="46">
        <v>6.4</v>
      </c>
      <c r="I172" s="46">
        <v>33.090000000000003</v>
      </c>
      <c r="J172" s="2"/>
    </row>
    <row r="173" spans="2:11">
      <c r="B173" s="19"/>
      <c r="C173" s="14" t="s">
        <v>10</v>
      </c>
      <c r="D173" s="46">
        <v>20.83</v>
      </c>
      <c r="E173" s="46">
        <v>166</v>
      </c>
      <c r="F173" s="46">
        <v>13.81</v>
      </c>
      <c r="G173" s="46">
        <v>104.17</v>
      </c>
      <c r="H173" s="46">
        <v>7.02</v>
      </c>
      <c r="I173" s="46">
        <v>61.83</v>
      </c>
      <c r="J173" s="2"/>
    </row>
    <row r="174" spans="2:11">
      <c r="B174" s="19"/>
      <c r="C174" s="14" t="s">
        <v>43</v>
      </c>
      <c r="D174" s="46">
        <v>19.16</v>
      </c>
      <c r="E174" s="46">
        <v>214.65</v>
      </c>
      <c r="F174" s="46">
        <v>7.73</v>
      </c>
      <c r="G174" s="46">
        <v>137</v>
      </c>
      <c r="H174" s="46">
        <v>11.44</v>
      </c>
      <c r="I174" s="46">
        <v>77.650000000000006</v>
      </c>
      <c r="J174" s="2"/>
      <c r="K174" s="2"/>
    </row>
    <row r="175" spans="2:11">
      <c r="B175" s="19"/>
      <c r="C175" s="14" t="s">
        <v>36</v>
      </c>
      <c r="D175" s="46">
        <v>4.46</v>
      </c>
      <c r="E175" s="46">
        <v>64.569999999999993</v>
      </c>
      <c r="F175" s="46">
        <v>2.04</v>
      </c>
      <c r="G175" s="46">
        <v>47.47</v>
      </c>
      <c r="H175" s="46">
        <v>2.42</v>
      </c>
      <c r="I175" s="46">
        <v>17.11</v>
      </c>
      <c r="J175" s="2"/>
      <c r="K175" s="2"/>
    </row>
    <row r="176" spans="2:11" ht="16.5" thickBot="1">
      <c r="B176" s="19"/>
      <c r="C176" s="14" t="s">
        <v>111</v>
      </c>
      <c r="D176" s="46">
        <v>1.43</v>
      </c>
      <c r="E176" s="46">
        <v>10.039999999999999</v>
      </c>
      <c r="F176" s="46">
        <v>0</v>
      </c>
      <c r="G176" s="46">
        <v>0.04</v>
      </c>
      <c r="H176" s="46">
        <v>1.43</v>
      </c>
      <c r="I176" s="46">
        <v>10</v>
      </c>
      <c r="J176" s="2"/>
      <c r="K176" s="2"/>
    </row>
    <row r="177" spans="2:11" ht="30">
      <c r="B177" s="160" t="s">
        <v>135</v>
      </c>
      <c r="C177" s="161" t="s">
        <v>26</v>
      </c>
      <c r="D177" s="162">
        <f>SUM(D178,D182:D184)</f>
        <v>122.51529640402927</v>
      </c>
      <c r="E177" s="162">
        <f>SUM(E178,E182:E184)</f>
        <v>1501.9175100030088</v>
      </c>
      <c r="F177" s="162">
        <f t="shared" ref="F177:I177" si="4">SUM(F178,F182:F184)</f>
        <v>74.8759286184563</v>
      </c>
      <c r="G177" s="162">
        <f t="shared" si="4"/>
        <v>1197.720648456472</v>
      </c>
      <c r="H177" s="162">
        <f t="shared" si="4"/>
        <v>47.639367785572965</v>
      </c>
      <c r="I177" s="163">
        <f t="shared" si="4"/>
        <v>304.19686154653664</v>
      </c>
      <c r="J177" s="199"/>
      <c r="K177" s="2"/>
    </row>
    <row r="178" spans="2:11">
      <c r="B178" s="164"/>
      <c r="C178" s="14" t="s">
        <v>42</v>
      </c>
      <c r="D178" s="46">
        <v>96.245919387537356</v>
      </c>
      <c r="E178" s="46">
        <v>1205.6419956549107</v>
      </c>
      <c r="F178" s="46">
        <v>64.522273101964387</v>
      </c>
      <c r="G178" s="46">
        <v>1004.9986463550911</v>
      </c>
      <c r="H178" s="46">
        <v>31.723646285572954</v>
      </c>
      <c r="I178" s="165">
        <v>200.64334929981948</v>
      </c>
      <c r="J178" s="2"/>
      <c r="K178" s="2"/>
    </row>
    <row r="179" spans="2:11">
      <c r="B179" s="164"/>
      <c r="C179" s="14" t="s">
        <v>8</v>
      </c>
      <c r="D179" s="46">
        <v>61.004711054204009</v>
      </c>
      <c r="E179" s="46">
        <v>847.11235364537254</v>
      </c>
      <c r="F179" s="46">
        <v>49.062361268631051</v>
      </c>
      <c r="G179" s="46">
        <v>740.46515533127786</v>
      </c>
      <c r="H179" s="46">
        <v>11.942349785572956</v>
      </c>
      <c r="I179" s="166">
        <v>106.64719831409465</v>
      </c>
      <c r="J179" s="2"/>
      <c r="K179" s="2"/>
    </row>
    <row r="180" spans="2:11">
      <c r="B180" s="164"/>
      <c r="C180" s="14" t="s">
        <v>69</v>
      </c>
      <c r="D180" s="46">
        <v>14.600604500000001</v>
      </c>
      <c r="E180" s="46">
        <v>198.43557514383915</v>
      </c>
      <c r="F180" s="46">
        <v>8.9119565000000005</v>
      </c>
      <c r="G180" s="46">
        <v>165.72255928386531</v>
      </c>
      <c r="H180" s="46">
        <v>5.6886479999999997</v>
      </c>
      <c r="I180" s="166">
        <v>32.713015859973829</v>
      </c>
      <c r="J180" s="2"/>
      <c r="K180" s="2"/>
    </row>
    <row r="181" spans="2:11">
      <c r="B181" s="164"/>
      <c r="C181" s="14" t="s">
        <v>10</v>
      </c>
      <c r="D181" s="46">
        <v>20.640603833333337</v>
      </c>
      <c r="E181" s="46">
        <v>160.09406686569889</v>
      </c>
      <c r="F181" s="46">
        <v>6.5479553333333396</v>
      </c>
      <c r="G181" s="46">
        <v>98.810931739947904</v>
      </c>
      <c r="H181" s="46">
        <v>14.092648499999997</v>
      </c>
      <c r="I181" s="166">
        <v>61.283135125750995</v>
      </c>
      <c r="J181" s="2"/>
      <c r="K181" s="2"/>
    </row>
    <row r="182" spans="2:11">
      <c r="B182" s="164"/>
      <c r="C182" s="14" t="s">
        <v>43</v>
      </c>
      <c r="D182" s="46">
        <v>20.439664016491921</v>
      </c>
      <c r="E182" s="46">
        <v>227.97548598991034</v>
      </c>
      <c r="F182" s="46">
        <v>8.4318745164919164</v>
      </c>
      <c r="G182" s="46">
        <v>150.79460350357206</v>
      </c>
      <c r="H182" s="46">
        <v>12.007789500000007</v>
      </c>
      <c r="I182" s="166">
        <v>77.180882486338263</v>
      </c>
      <c r="J182" s="2"/>
      <c r="K182" s="2"/>
    </row>
    <row r="183" spans="2:11">
      <c r="B183" s="164"/>
      <c r="C183" s="14" t="s">
        <v>36</v>
      </c>
      <c r="D183" s="46">
        <v>4.3778044999999999</v>
      </c>
      <c r="E183" s="46">
        <v>59.192700515995142</v>
      </c>
      <c r="F183" s="46">
        <v>1.9217810000000006</v>
      </c>
      <c r="G183" s="46">
        <v>41.92739859780896</v>
      </c>
      <c r="H183" s="46">
        <v>2.4560234999999997</v>
      </c>
      <c r="I183" s="166">
        <v>17.265301918186186</v>
      </c>
      <c r="J183" s="2"/>
      <c r="K183" s="2"/>
    </row>
    <row r="184" spans="2:11" ht="16.5" thickBot="1">
      <c r="B184" s="167"/>
      <c r="C184" s="52" t="s">
        <v>111</v>
      </c>
      <c r="D184" s="103">
        <v>1.4519085000000003</v>
      </c>
      <c r="E184" s="103">
        <v>9.1073278421927135</v>
      </c>
      <c r="F184" s="103">
        <v>0</v>
      </c>
      <c r="G184" s="103">
        <v>0</v>
      </c>
      <c r="H184" s="103">
        <v>1.4519085000000003</v>
      </c>
      <c r="I184" s="168">
        <v>9.1073278421927135</v>
      </c>
      <c r="J184" s="2"/>
      <c r="K184" s="2"/>
    </row>
    <row r="185" spans="2:11">
      <c r="B185" s="19" t="s">
        <v>134</v>
      </c>
      <c r="C185" s="13" t="s">
        <v>26</v>
      </c>
      <c r="D185" s="45">
        <v>132.35231866995485</v>
      </c>
      <c r="E185" s="45">
        <v>1163.9114852996247</v>
      </c>
      <c r="F185" s="45">
        <v>79.409802819421216</v>
      </c>
      <c r="G185" s="45">
        <v>777.58664154250357</v>
      </c>
      <c r="H185" s="45">
        <v>52.942515850533653</v>
      </c>
      <c r="I185" s="40">
        <v>386.32484375712107</v>
      </c>
      <c r="J185" s="2"/>
      <c r="K185" s="2"/>
    </row>
    <row r="186" spans="2:11">
      <c r="B186" s="19"/>
      <c r="C186" s="14" t="s">
        <v>42</v>
      </c>
      <c r="D186" s="46">
        <v>105.19396246846784</v>
      </c>
      <c r="E186" s="46">
        <v>855.52869577703871</v>
      </c>
      <c r="F186" s="46">
        <v>68.653510029886149</v>
      </c>
      <c r="G186" s="46">
        <v>587.98452484034669</v>
      </c>
      <c r="H186" s="46">
        <v>36.540452438581703</v>
      </c>
      <c r="I186" s="42">
        <v>267.54417093669201</v>
      </c>
      <c r="J186" s="2"/>
      <c r="K186" s="2"/>
    </row>
    <row r="187" spans="2:11">
      <c r="B187" s="19"/>
      <c r="C187" s="14" t="s">
        <v>8</v>
      </c>
      <c r="D187" s="46">
        <v>68.806948850210205</v>
      </c>
      <c r="E187" s="46">
        <v>479.02112675390634</v>
      </c>
      <c r="F187" s="46">
        <v>52.275460196468643</v>
      </c>
      <c r="G187" s="46">
        <v>344.63634979783893</v>
      </c>
      <c r="H187" s="46">
        <v>16.531488653741565</v>
      </c>
      <c r="I187" s="42">
        <v>134.38477695606741</v>
      </c>
      <c r="J187" s="2"/>
      <c r="K187" s="2"/>
    </row>
    <row r="188" spans="2:11">
      <c r="B188" s="19"/>
      <c r="C188" s="14" t="s">
        <v>69</v>
      </c>
      <c r="D188" s="46">
        <v>15.485408860049924</v>
      </c>
      <c r="E188" s="46">
        <v>209.50590629966248</v>
      </c>
      <c r="F188" s="46">
        <v>9.5187951558581965</v>
      </c>
      <c r="G188" s="46">
        <v>138.86634647524482</v>
      </c>
      <c r="H188" s="46">
        <v>5.9666137041917278</v>
      </c>
      <c r="I188" s="42">
        <v>70.63955982441766</v>
      </c>
      <c r="J188" s="2"/>
      <c r="K188" s="2"/>
    </row>
    <row r="189" spans="2:11">
      <c r="B189" s="19"/>
      <c r="C189" s="14" t="s">
        <v>10</v>
      </c>
      <c r="D189" s="46">
        <v>20.901604758207714</v>
      </c>
      <c r="E189" s="46">
        <v>167.00166272346985</v>
      </c>
      <c r="F189" s="46">
        <v>6.8592546775593028</v>
      </c>
      <c r="G189" s="46">
        <v>104.48182856726294</v>
      </c>
      <c r="H189" s="46">
        <v>14.042350080648411</v>
      </c>
      <c r="I189" s="42">
        <v>62.519834156206926</v>
      </c>
      <c r="J189" s="2"/>
      <c r="K189" s="2"/>
    </row>
    <row r="190" spans="2:11">
      <c r="B190" s="19"/>
      <c r="C190" s="14" t="s">
        <v>43</v>
      </c>
      <c r="D190" s="46">
        <v>19.855746948003937</v>
      </c>
      <c r="E190" s="46">
        <v>224.74010878037643</v>
      </c>
      <c r="F190" s="46">
        <v>8.2771316131612043</v>
      </c>
      <c r="G190" s="46">
        <v>148.72126105731763</v>
      </c>
      <c r="H190" s="46">
        <v>11.578615334842732</v>
      </c>
      <c r="I190" s="42">
        <v>76.018847723058784</v>
      </c>
      <c r="J190" s="2"/>
      <c r="K190" s="2"/>
    </row>
    <row r="191" spans="2:11">
      <c r="B191" s="19"/>
      <c r="C191" s="14" t="s">
        <v>36</v>
      </c>
      <c r="D191" s="46">
        <v>5.6722692534830799</v>
      </c>
      <c r="E191" s="46">
        <v>73.376254778217771</v>
      </c>
      <c r="F191" s="46">
        <v>2.4791611763738577</v>
      </c>
      <c r="G191" s="46">
        <v>40.880855644839251</v>
      </c>
      <c r="H191" s="46">
        <v>3.1931080771092217</v>
      </c>
      <c r="I191" s="42">
        <v>32.49539913337852</v>
      </c>
      <c r="J191" s="2"/>
      <c r="K191" s="2"/>
    </row>
    <row r="192" spans="2:11" ht="16.5" thickBot="1">
      <c r="B192" s="101"/>
      <c r="C192" s="52" t="s">
        <v>111</v>
      </c>
      <c r="D192" s="102">
        <v>1.6303399999999997</v>
      </c>
      <c r="E192" s="103">
        <v>10.266425963991784</v>
      </c>
      <c r="F192" s="103">
        <v>0</v>
      </c>
      <c r="G192" s="103">
        <v>0</v>
      </c>
      <c r="H192" s="103">
        <v>1.6303399999999997</v>
      </c>
      <c r="I192" s="104">
        <v>10.266425963991784</v>
      </c>
      <c r="J192" s="2"/>
      <c r="K192" s="2"/>
    </row>
    <row r="193" spans="2:11">
      <c r="B193" s="19" t="s">
        <v>5</v>
      </c>
      <c r="C193" s="13" t="s">
        <v>26</v>
      </c>
      <c r="D193" s="39" t="s">
        <v>50</v>
      </c>
      <c r="E193" s="47">
        <v>1026.81</v>
      </c>
      <c r="F193" s="39" t="s">
        <v>70</v>
      </c>
      <c r="G193" s="39">
        <v>477.63</v>
      </c>
      <c r="H193" s="32">
        <v>81.59</v>
      </c>
      <c r="I193" s="32">
        <v>549.17999999999995</v>
      </c>
      <c r="J193" s="2"/>
      <c r="K193" s="2"/>
    </row>
    <row r="194" spans="2:11">
      <c r="B194" s="19"/>
      <c r="C194" s="14" t="s">
        <v>42</v>
      </c>
      <c r="D194" s="16">
        <v>128.61000000000001</v>
      </c>
      <c r="E194" s="16">
        <v>898.16</v>
      </c>
      <c r="F194" s="16">
        <v>63.54</v>
      </c>
      <c r="G194" s="16">
        <v>424.19</v>
      </c>
      <c r="H194" s="16">
        <v>65.08</v>
      </c>
      <c r="I194" s="16">
        <v>473.97</v>
      </c>
      <c r="J194" s="2"/>
      <c r="K194" s="2"/>
    </row>
    <row r="195" spans="2:11">
      <c r="B195" s="19"/>
      <c r="C195" s="14" t="s">
        <v>120</v>
      </c>
      <c r="D195" s="16">
        <v>86.21</v>
      </c>
      <c r="E195" s="16">
        <v>166.79</v>
      </c>
      <c r="F195" s="16">
        <v>295.44</v>
      </c>
      <c r="G195" s="16">
        <v>110.33</v>
      </c>
      <c r="H195" s="16">
        <v>38.86</v>
      </c>
      <c r="I195" s="16">
        <v>236.39</v>
      </c>
      <c r="J195" s="2"/>
      <c r="K195" s="21"/>
    </row>
    <row r="196" spans="2:11">
      <c r="B196" s="19"/>
      <c r="C196" s="14" t="s">
        <v>69</v>
      </c>
      <c r="D196" s="48">
        <v>20.39</v>
      </c>
      <c r="E196" s="48">
        <v>203.94</v>
      </c>
      <c r="F196" s="48">
        <v>9.7799999999999994</v>
      </c>
      <c r="G196" s="48">
        <v>70.39</v>
      </c>
      <c r="H196" s="48">
        <v>9.8000000000000007</v>
      </c>
      <c r="I196" s="16">
        <v>133.55000000000001</v>
      </c>
      <c r="J196" s="2"/>
      <c r="K196" s="2"/>
    </row>
    <row r="197" spans="2:11" ht="30">
      <c r="B197" s="19"/>
      <c r="C197" s="14" t="s">
        <v>121</v>
      </c>
      <c r="D197" s="16">
        <v>20.83</v>
      </c>
      <c r="E197" s="16">
        <v>162.38999999999999</v>
      </c>
      <c r="F197" s="16">
        <v>6.41</v>
      </c>
      <c r="G197" s="16">
        <v>63.37</v>
      </c>
      <c r="H197" s="16">
        <v>14.21</v>
      </c>
      <c r="I197" s="16">
        <v>99.02</v>
      </c>
      <c r="J197" s="2"/>
      <c r="K197" s="2"/>
    </row>
    <row r="198" spans="2:11">
      <c r="B198" s="19"/>
      <c r="C198" s="14" t="s">
        <v>43</v>
      </c>
      <c r="D198" s="16">
        <v>19.14</v>
      </c>
      <c r="E198" s="16">
        <v>51.02</v>
      </c>
      <c r="F198" s="16">
        <v>8.16</v>
      </c>
      <c r="G198" s="16">
        <v>15.82</v>
      </c>
      <c r="H198" s="16">
        <v>10.98</v>
      </c>
      <c r="I198" s="16">
        <v>35.200000000000003</v>
      </c>
      <c r="J198" s="2"/>
      <c r="K198" s="2"/>
    </row>
    <row r="199" spans="2:11">
      <c r="B199" s="19"/>
      <c r="C199" s="14" t="s">
        <v>71</v>
      </c>
      <c r="D199" s="16">
        <v>5.87</v>
      </c>
      <c r="E199" s="16">
        <v>64.77</v>
      </c>
      <c r="F199" s="16">
        <v>2.33</v>
      </c>
      <c r="G199" s="16">
        <v>37.619999999999997</v>
      </c>
      <c r="H199" s="16">
        <v>3.55</v>
      </c>
      <c r="I199" s="16">
        <v>27.15</v>
      </c>
      <c r="J199" s="2"/>
      <c r="K199" s="2"/>
    </row>
    <row r="200" spans="2:11" ht="16.5" thickBot="1">
      <c r="B200" s="101"/>
      <c r="C200" s="52" t="s">
        <v>54</v>
      </c>
      <c r="D200" s="105">
        <v>1.98</v>
      </c>
      <c r="E200" s="53">
        <v>12.86</v>
      </c>
      <c r="F200" s="53" t="s">
        <v>16</v>
      </c>
      <c r="G200" s="53" t="s">
        <v>16</v>
      </c>
      <c r="H200" s="53">
        <v>1.98</v>
      </c>
      <c r="I200" s="53">
        <v>12.86</v>
      </c>
      <c r="J200" s="2"/>
    </row>
    <row r="201" spans="2:11">
      <c r="B201" s="19" t="s">
        <v>6</v>
      </c>
      <c r="C201" s="13" t="s">
        <v>26</v>
      </c>
      <c r="D201" s="32">
        <v>126.09</v>
      </c>
      <c r="E201" s="41">
        <v>1364.89</v>
      </c>
      <c r="F201" s="32">
        <v>55.38</v>
      </c>
      <c r="G201" s="32">
        <v>905.5</v>
      </c>
      <c r="H201" s="32">
        <v>70.709999999999994</v>
      </c>
      <c r="I201" s="32">
        <v>459.39</v>
      </c>
      <c r="J201" s="2"/>
    </row>
    <row r="202" spans="2:11">
      <c r="B202" s="19"/>
      <c r="C202" s="14" t="s">
        <v>42</v>
      </c>
      <c r="D202" s="16">
        <v>65.97</v>
      </c>
      <c r="E202" s="16">
        <v>667.44</v>
      </c>
      <c r="F202" s="16">
        <v>25.64</v>
      </c>
      <c r="G202" s="16">
        <v>419.63</v>
      </c>
      <c r="H202" s="16">
        <v>40.33</v>
      </c>
      <c r="I202" s="16">
        <v>247.81</v>
      </c>
      <c r="J202" s="21"/>
    </row>
    <row r="203" spans="2:11">
      <c r="B203" s="19"/>
      <c r="C203" s="14" t="s">
        <v>72</v>
      </c>
      <c r="D203" s="16">
        <v>13.68</v>
      </c>
      <c r="E203" s="16">
        <v>181.14</v>
      </c>
      <c r="F203" s="16" t="s">
        <v>16</v>
      </c>
      <c r="G203" s="16" t="s">
        <v>16</v>
      </c>
      <c r="H203" s="16" t="s">
        <v>16</v>
      </c>
      <c r="I203" s="16" t="s">
        <v>16</v>
      </c>
      <c r="J203" s="2"/>
    </row>
    <row r="204" spans="2:11">
      <c r="B204" s="19"/>
      <c r="C204" s="14" t="s">
        <v>69</v>
      </c>
      <c r="D204" s="16">
        <v>24.77</v>
      </c>
      <c r="E204" s="16">
        <v>273.62</v>
      </c>
      <c r="F204" s="16" t="s">
        <v>16</v>
      </c>
      <c r="G204" s="16" t="s">
        <v>16</v>
      </c>
      <c r="H204" s="16" t="s">
        <v>16</v>
      </c>
      <c r="I204" s="16" t="s">
        <v>16</v>
      </c>
      <c r="J204" s="2"/>
    </row>
    <row r="205" spans="2:11">
      <c r="B205" s="19"/>
      <c r="C205" s="14" t="s">
        <v>10</v>
      </c>
      <c r="D205" s="16">
        <v>27.52</v>
      </c>
      <c r="E205" s="16">
        <v>212.67</v>
      </c>
      <c r="F205" s="16" t="s">
        <v>16</v>
      </c>
      <c r="G205" s="16" t="s">
        <v>16</v>
      </c>
      <c r="H205" s="16" t="s">
        <v>16</v>
      </c>
      <c r="I205" s="16" t="s">
        <v>16</v>
      </c>
    </row>
    <row r="206" spans="2:11">
      <c r="B206" s="19"/>
      <c r="C206" s="14" t="s">
        <v>43</v>
      </c>
      <c r="D206" s="16">
        <v>15.22</v>
      </c>
      <c r="E206" s="16">
        <v>218.98</v>
      </c>
      <c r="F206" s="16">
        <v>9.33</v>
      </c>
      <c r="G206" s="16">
        <v>170.86</v>
      </c>
      <c r="H206" s="16">
        <v>5.89</v>
      </c>
      <c r="I206" s="16">
        <v>48.12</v>
      </c>
      <c r="K206" s="2"/>
    </row>
    <row r="207" spans="2:11">
      <c r="B207" s="19"/>
      <c r="C207" s="14" t="s">
        <v>44</v>
      </c>
      <c r="D207" s="16">
        <v>44.78</v>
      </c>
      <c r="E207" s="16">
        <v>478.01</v>
      </c>
      <c r="F207" s="16">
        <v>20.41</v>
      </c>
      <c r="G207" s="16">
        <v>315.01</v>
      </c>
      <c r="H207" s="16">
        <v>24.37</v>
      </c>
      <c r="I207" s="16">
        <v>163</v>
      </c>
    </row>
    <row r="208" spans="2:11" ht="16.5" thickBot="1">
      <c r="B208" s="101"/>
      <c r="C208" s="52" t="s">
        <v>54</v>
      </c>
      <c r="D208" s="53">
        <v>0.11</v>
      </c>
      <c r="E208" s="53">
        <v>0.46</v>
      </c>
      <c r="F208" s="53" t="s">
        <v>16</v>
      </c>
      <c r="G208" s="53" t="s">
        <v>16</v>
      </c>
      <c r="H208" s="53">
        <v>0.11</v>
      </c>
      <c r="I208" s="53">
        <v>0.46</v>
      </c>
    </row>
    <row r="209" spans="2:14">
      <c r="B209" s="5"/>
      <c r="C209" s="5"/>
      <c r="D209" s="2"/>
      <c r="E209" s="2"/>
      <c r="F209" s="2"/>
      <c r="G209" s="2"/>
      <c r="H209" s="2"/>
      <c r="I209" s="2"/>
      <c r="K209" s="2"/>
    </row>
    <row r="210" spans="2:14">
      <c r="B210" s="7" t="s">
        <v>74</v>
      </c>
      <c r="C210" s="7"/>
      <c r="D210" s="2"/>
      <c r="E210" s="2"/>
      <c r="F210" s="2"/>
      <c r="G210" s="2"/>
      <c r="H210" s="2"/>
      <c r="I210" s="2"/>
      <c r="K210" s="2"/>
    </row>
    <row r="211" spans="2:14" ht="16.5" thickBot="1">
      <c r="B211" s="5"/>
      <c r="C211" s="5"/>
      <c r="D211" s="2"/>
      <c r="F211" s="2"/>
      <c r="G211" s="2"/>
      <c r="H211" s="2"/>
      <c r="I211" s="2"/>
      <c r="J211" s="2"/>
    </row>
    <row r="212" spans="2:14" ht="30">
      <c r="B212" s="87"/>
      <c r="C212" s="8" t="s">
        <v>332</v>
      </c>
      <c r="D212" s="8" t="s">
        <v>105</v>
      </c>
      <c r="E212" s="172" t="s">
        <v>137</v>
      </c>
      <c r="F212" s="8" t="s">
        <v>134</v>
      </c>
      <c r="G212" s="8" t="s">
        <v>5</v>
      </c>
      <c r="H212" s="8" t="s">
        <v>6</v>
      </c>
      <c r="J212" s="2"/>
    </row>
    <row r="213" spans="2:14">
      <c r="B213" s="9" t="s">
        <v>75</v>
      </c>
      <c r="C213" s="84">
        <v>0.41</v>
      </c>
      <c r="D213" s="84">
        <v>0.39572022412250457</v>
      </c>
      <c r="E213" s="82">
        <v>0.43300646874891002</v>
      </c>
      <c r="F213" s="14">
        <v>40</v>
      </c>
      <c r="G213" s="32">
        <v>66</v>
      </c>
      <c r="H213" s="32">
        <v>56.08</v>
      </c>
      <c r="I213" s="2"/>
      <c r="J213" s="2"/>
      <c r="K213" s="116"/>
      <c r="L213" s="116"/>
      <c r="M213" s="116"/>
      <c r="N213" s="116"/>
    </row>
    <row r="214" spans="2:14">
      <c r="B214" s="9" t="s">
        <v>76</v>
      </c>
      <c r="C214" s="84">
        <v>0.36</v>
      </c>
      <c r="D214" s="84">
        <v>0.36420060670157511</v>
      </c>
      <c r="E214" s="82">
        <v>0.40355225343549905</v>
      </c>
      <c r="F214" s="14">
        <v>33</v>
      </c>
      <c r="G214" s="32">
        <v>3</v>
      </c>
      <c r="H214" s="32">
        <v>16.149999999999999</v>
      </c>
      <c r="I214" s="2"/>
      <c r="J214" s="71"/>
      <c r="K214" s="116"/>
      <c r="L214" s="116"/>
      <c r="M214" s="116"/>
      <c r="N214" s="116"/>
    </row>
    <row r="215" spans="2:14">
      <c r="B215" s="9" t="s">
        <v>77</v>
      </c>
      <c r="C215" s="84">
        <v>0.09</v>
      </c>
      <c r="D215" s="84">
        <v>0.11107228927280925</v>
      </c>
      <c r="E215" s="82">
        <v>0.13219049564381885</v>
      </c>
      <c r="F215" s="14">
        <v>11</v>
      </c>
      <c r="G215" s="32">
        <v>11</v>
      </c>
      <c r="H215" s="32">
        <v>15.69</v>
      </c>
      <c r="J215" s="108"/>
      <c r="K215" s="70"/>
      <c r="L215" s="118"/>
      <c r="M215" s="116"/>
      <c r="N215" s="116"/>
    </row>
    <row r="216" spans="2:14">
      <c r="B216" s="9" t="s">
        <v>78</v>
      </c>
      <c r="C216" s="84">
        <v>0.12</v>
      </c>
      <c r="D216" s="84">
        <v>0.10524532892914693</v>
      </c>
      <c r="E216" s="82">
        <v>6.0994869571342125E-3</v>
      </c>
      <c r="F216" s="14">
        <v>14</v>
      </c>
      <c r="G216" s="32">
        <v>12</v>
      </c>
      <c r="H216" s="32">
        <v>7.34</v>
      </c>
      <c r="K216" s="70"/>
      <c r="L216" s="118"/>
      <c r="M216" s="118"/>
      <c r="N216" s="116"/>
    </row>
    <row r="217" spans="2:14" ht="30">
      <c r="B217" s="9" t="s">
        <v>79</v>
      </c>
      <c r="C217" s="84">
        <v>0.02</v>
      </c>
      <c r="D217" s="84">
        <v>2.3000933633586202E-2</v>
      </c>
      <c r="E217" s="82">
        <v>2.5110066343778728E-2</v>
      </c>
      <c r="F217" s="14">
        <v>2</v>
      </c>
      <c r="G217" s="32">
        <v>7</v>
      </c>
      <c r="H217" s="32">
        <v>4.74</v>
      </c>
      <c r="K217" s="69"/>
      <c r="L217" s="118"/>
      <c r="M217" s="118"/>
      <c r="N217" s="116"/>
    </row>
    <row r="218" spans="2:14" ht="16.5" thickBot="1">
      <c r="B218" s="24" t="s">
        <v>80</v>
      </c>
      <c r="C218" s="85">
        <v>0</v>
      </c>
      <c r="D218" s="85">
        <v>0</v>
      </c>
      <c r="E218" s="83">
        <v>0</v>
      </c>
      <c r="F218" s="35">
        <v>0</v>
      </c>
      <c r="G218" s="37">
        <v>1</v>
      </c>
      <c r="H218" s="37" t="s">
        <v>16</v>
      </c>
      <c r="J218" s="116"/>
      <c r="K218" s="116"/>
      <c r="L218" s="116"/>
      <c r="M218" s="116"/>
      <c r="N218" s="116"/>
    </row>
    <row r="219" spans="2:14">
      <c r="B219" s="5"/>
      <c r="C219" s="5"/>
      <c r="D219" s="2"/>
      <c r="E219" s="2"/>
      <c r="F219" s="2"/>
      <c r="G219" s="2"/>
      <c r="H219" s="2"/>
      <c r="I219" s="2"/>
      <c r="J219" s="116"/>
      <c r="K219" s="116"/>
      <c r="L219" s="116"/>
      <c r="M219" s="116"/>
      <c r="N219" s="116"/>
    </row>
    <row r="220" spans="2:14">
      <c r="B220" s="7" t="s">
        <v>138</v>
      </c>
      <c r="C220" s="7"/>
      <c r="D220" s="2"/>
      <c r="E220" s="2"/>
      <c r="F220" s="2"/>
      <c r="G220" s="2"/>
      <c r="H220" s="2"/>
      <c r="I220" s="2"/>
      <c r="J220" s="70"/>
      <c r="K220" s="116"/>
      <c r="L220" s="116"/>
      <c r="M220" s="116"/>
      <c r="N220" s="116"/>
    </row>
    <row r="221" spans="2:14" ht="16.5" thickBot="1">
      <c r="B221" s="7"/>
      <c r="C221" s="7"/>
      <c r="D221" s="2"/>
      <c r="E221" s="2"/>
      <c r="F221" s="2"/>
      <c r="G221" s="2"/>
      <c r="H221" s="2"/>
      <c r="I221" s="2"/>
      <c r="J221" s="70"/>
      <c r="K221" s="116"/>
      <c r="L221" s="116"/>
      <c r="M221" s="116"/>
      <c r="N221" s="116"/>
    </row>
    <row r="222" spans="2:14">
      <c r="B222" s="266" t="s">
        <v>12</v>
      </c>
      <c r="C222" s="266"/>
      <c r="D222" s="268" t="s">
        <v>139</v>
      </c>
      <c r="E222" s="270"/>
      <c r="F222" s="271"/>
      <c r="G222" s="271"/>
      <c r="H222" s="271"/>
      <c r="I222" s="271"/>
      <c r="J222" s="69"/>
      <c r="K222" s="115"/>
      <c r="L222" s="116"/>
      <c r="M222" s="116"/>
      <c r="N222" s="116"/>
    </row>
    <row r="223" spans="2:14" ht="16.5" thickBot="1">
      <c r="B223" s="276"/>
      <c r="C223" s="267"/>
      <c r="D223" s="62" t="s">
        <v>67</v>
      </c>
      <c r="E223" s="173" t="s">
        <v>68</v>
      </c>
      <c r="F223" s="107"/>
      <c r="G223" s="107"/>
      <c r="H223" s="107"/>
      <c r="I223" s="107"/>
      <c r="J223" s="116"/>
      <c r="K223" s="115"/>
      <c r="L223" s="116"/>
      <c r="M223" s="116"/>
      <c r="N223" s="116"/>
    </row>
    <row r="224" spans="2:14">
      <c r="B224" s="109" t="s">
        <v>332</v>
      </c>
      <c r="C224" s="13" t="s">
        <v>26</v>
      </c>
      <c r="D224" s="251">
        <f>SUM(D225:D228)</f>
        <v>967.24499999999989</v>
      </c>
      <c r="E224" s="252">
        <f>D224*10.07</f>
        <v>9740.1571499999991</v>
      </c>
      <c r="F224" s="107"/>
      <c r="H224" s="2"/>
      <c r="I224" s="2"/>
      <c r="J224" s="116"/>
      <c r="K224" s="114"/>
    </row>
    <row r="225" spans="2:14" ht="30">
      <c r="B225" s="110"/>
      <c r="C225" s="14" t="s">
        <v>58</v>
      </c>
      <c r="D225" s="171">
        <f>100738/1000</f>
        <v>100.738</v>
      </c>
      <c r="E225" s="171">
        <f t="shared" ref="E225:E228" si="5">D225*10.07</f>
        <v>1014.4316600000001</v>
      </c>
      <c r="F225" s="107"/>
      <c r="H225" s="2"/>
      <c r="I225" s="2"/>
      <c r="J225" s="116"/>
      <c r="K225" s="114"/>
    </row>
    <row r="226" spans="2:14">
      <c r="B226" s="110"/>
      <c r="C226" s="14" t="s">
        <v>59</v>
      </c>
      <c r="D226" s="171">
        <f>518591/1000</f>
        <v>518.59100000000001</v>
      </c>
      <c r="E226" s="171">
        <f t="shared" si="5"/>
        <v>5222.21137</v>
      </c>
      <c r="G226" s="116"/>
      <c r="H226" s="70"/>
      <c r="I226" s="70"/>
      <c r="J226" s="214"/>
      <c r="K226" s="214"/>
      <c r="L226" s="214"/>
      <c r="M226" s="215"/>
      <c r="N226" s="215"/>
    </row>
    <row r="227" spans="2:14" ht="30">
      <c r="B227" s="110"/>
      <c r="C227" s="14" t="s">
        <v>61</v>
      </c>
      <c r="D227" s="171">
        <f>33601/1000</f>
        <v>33.600999999999999</v>
      </c>
      <c r="E227" s="171">
        <f t="shared" si="5"/>
        <v>338.36207000000002</v>
      </c>
      <c r="G227" s="116"/>
      <c r="H227" s="70"/>
      <c r="I227" s="70"/>
      <c r="J227" s="214"/>
      <c r="K227" s="214"/>
      <c r="L227" s="214"/>
      <c r="M227" s="215"/>
      <c r="N227" s="215"/>
    </row>
    <row r="228" spans="2:14" ht="16.5" thickBot="1">
      <c r="B228" s="110"/>
      <c r="C228" s="35" t="s">
        <v>62</v>
      </c>
      <c r="D228" s="97">
        <f>314315/1000</f>
        <v>314.315</v>
      </c>
      <c r="E228" s="169">
        <f t="shared" si="5"/>
        <v>3165.1520500000001</v>
      </c>
      <c r="G228" s="117"/>
      <c r="H228" s="117"/>
      <c r="I228" s="70"/>
      <c r="J228" s="115"/>
    </row>
    <row r="229" spans="2:14">
      <c r="B229" s="109" t="s">
        <v>105</v>
      </c>
      <c r="C229" s="13" t="s">
        <v>26</v>
      </c>
      <c r="D229" s="13">
        <f>SUM(D230:D234)</f>
        <v>653.72999999999979</v>
      </c>
      <c r="E229" s="80">
        <f>SUM(E230:E234)</f>
        <v>9389.9573019074905</v>
      </c>
      <c r="F229" s="107"/>
      <c r="H229" s="2"/>
      <c r="I229" s="2"/>
      <c r="J229" s="116"/>
      <c r="K229" s="114"/>
      <c r="L229" s="2"/>
      <c r="M229" s="2"/>
      <c r="N229" s="2"/>
    </row>
    <row r="230" spans="2:14" ht="30">
      <c r="B230" s="110"/>
      <c r="C230" s="14" t="s">
        <v>58</v>
      </c>
      <c r="D230" s="171">
        <v>97.17</v>
      </c>
      <c r="E230" s="171">
        <f>SUM([1]Summary!$E$36:$E$43)</f>
        <v>886.88805550714835</v>
      </c>
      <c r="F230" s="107"/>
      <c r="H230" s="2"/>
      <c r="I230" s="2"/>
      <c r="J230" s="116"/>
      <c r="K230" s="114"/>
      <c r="L230" s="2"/>
    </row>
    <row r="231" spans="2:14">
      <c r="B231" s="110"/>
      <c r="C231" s="14" t="s">
        <v>59</v>
      </c>
      <c r="D231" s="171">
        <v>541.9</v>
      </c>
      <c r="E231" s="171">
        <f>SUM([2]Summary!$P$6:$P$9,[2]Summary!$P$11)</f>
        <v>5131.9093621199809</v>
      </c>
      <c r="G231" s="116"/>
      <c r="H231" s="70"/>
      <c r="I231" s="70"/>
      <c r="J231" s="214"/>
      <c r="K231" s="214"/>
      <c r="L231" s="2"/>
    </row>
    <row r="232" spans="2:14" ht="30">
      <c r="B232" s="110"/>
      <c r="C232" s="14" t="s">
        <v>61</v>
      </c>
      <c r="D232" s="171">
        <v>12.3</v>
      </c>
      <c r="E232" s="171">
        <f>SUM([1]Summary!$E$44:$E$45)</f>
        <v>231.92833424934821</v>
      </c>
      <c r="G232" s="116"/>
      <c r="H232" s="70"/>
      <c r="I232" s="70"/>
      <c r="J232" s="214"/>
      <c r="K232" s="214"/>
    </row>
    <row r="233" spans="2:14">
      <c r="B233" s="110"/>
      <c r="C233" s="14" t="s">
        <v>62</v>
      </c>
      <c r="D233" s="171">
        <v>2.06</v>
      </c>
      <c r="E233" s="171">
        <f>[2]Summary!$P$12</f>
        <v>3136.5153583257661</v>
      </c>
      <c r="G233" s="117"/>
      <c r="H233" s="117"/>
      <c r="I233" s="70"/>
      <c r="J233" s="115"/>
    </row>
    <row r="234" spans="2:14" ht="45.75" thickBot="1">
      <c r="B234" s="111"/>
      <c r="C234" s="35" t="s">
        <v>63</v>
      </c>
      <c r="D234" s="97">
        <v>0.3</v>
      </c>
      <c r="E234" s="169">
        <f>[1]Summary!$E$46</f>
        <v>2.7161917052478208</v>
      </c>
      <c r="G234" s="117"/>
      <c r="H234" s="117"/>
      <c r="I234" s="70"/>
      <c r="J234" s="114"/>
    </row>
    <row r="235" spans="2:14">
      <c r="B235" s="109" t="s">
        <v>4</v>
      </c>
      <c r="C235" s="13" t="s">
        <v>26</v>
      </c>
      <c r="D235" s="77">
        <v>567</v>
      </c>
      <c r="E235" s="31">
        <f>SUM(E236:E240)</f>
        <v>10690.238847572507</v>
      </c>
      <c r="F235" s="2"/>
      <c r="G235" s="107"/>
      <c r="H235" s="69"/>
      <c r="I235" s="69"/>
      <c r="J235" s="114"/>
      <c r="K235" s="7"/>
    </row>
    <row r="236" spans="2:14" ht="30">
      <c r="B236" s="110"/>
      <c r="C236" s="14" t="s">
        <v>58</v>
      </c>
      <c r="D236" s="48">
        <v>97.57</v>
      </c>
      <c r="E236" s="75">
        <f>SUM([3]Summary!$G$89:$G$96)</f>
        <v>978.48951804807655</v>
      </c>
      <c r="G236" s="119"/>
      <c r="H236" s="116"/>
      <c r="I236" s="116"/>
      <c r="J236" s="114"/>
      <c r="K236" s="2"/>
    </row>
    <row r="237" spans="2:14">
      <c r="B237" s="110"/>
      <c r="C237" s="14" t="s">
        <v>59</v>
      </c>
      <c r="D237" s="14">
        <v>454.72</v>
      </c>
      <c r="E237" s="33">
        <v>6448.3</v>
      </c>
      <c r="G237" s="58"/>
      <c r="H237" s="116"/>
      <c r="I237" s="116"/>
      <c r="J237" s="114"/>
      <c r="K237" s="2"/>
    </row>
    <row r="238" spans="2:14" ht="30">
      <c r="B238" s="110"/>
      <c r="C238" s="14" t="s">
        <v>61</v>
      </c>
      <c r="D238" s="78">
        <v>12.1</v>
      </c>
      <c r="E238" s="33">
        <f>SUM([3]Summary!$G$97:$G$98)</f>
        <v>123.90374234133654</v>
      </c>
      <c r="G238" s="58"/>
      <c r="H238" s="116"/>
      <c r="I238" s="116"/>
      <c r="K238" s="2"/>
    </row>
    <row r="239" spans="2:14">
      <c r="B239" s="110"/>
      <c r="C239" s="14" t="s">
        <v>317</v>
      </c>
      <c r="D239" s="96">
        <f>D233</f>
        <v>2.06</v>
      </c>
      <c r="E239" s="171">
        <f>E233</f>
        <v>3136.5153583257661</v>
      </c>
      <c r="F239" s="94"/>
      <c r="G239" s="58"/>
      <c r="H239" s="116"/>
      <c r="I239" s="214"/>
      <c r="K239" s="2"/>
    </row>
    <row r="240" spans="2:14" ht="45.75" thickBot="1">
      <c r="B240" s="111"/>
      <c r="C240" s="35" t="s">
        <v>63</v>
      </c>
      <c r="D240" s="20">
        <v>0.33</v>
      </c>
      <c r="E240" s="170">
        <f>[3]Summary!$G$99</f>
        <v>3.030228857326795</v>
      </c>
      <c r="G240" s="58"/>
      <c r="H240" s="116"/>
      <c r="I240" s="214"/>
      <c r="J240" s="7"/>
    </row>
    <row r="241" spans="2:12">
      <c r="B241" s="109" t="s">
        <v>5</v>
      </c>
      <c r="C241" s="13" t="s">
        <v>26</v>
      </c>
      <c r="D241" s="39">
        <v>680.04</v>
      </c>
      <c r="E241" s="41">
        <v>8743.0400000000009</v>
      </c>
      <c r="G241" s="58"/>
      <c r="H241" s="116"/>
      <c r="I241" s="116"/>
      <c r="J241" s="2"/>
      <c r="K241" s="2"/>
    </row>
    <row r="242" spans="2:12" ht="30">
      <c r="B242" s="110"/>
      <c r="C242" s="14" t="s">
        <v>58</v>
      </c>
      <c r="D242" s="48">
        <v>143.22999999999999</v>
      </c>
      <c r="E242" s="36">
        <v>1161.2470000000001</v>
      </c>
      <c r="G242" s="113"/>
      <c r="J242" s="2"/>
      <c r="K242" s="2"/>
    </row>
    <row r="243" spans="2:12" ht="15" customHeight="1" thickBot="1">
      <c r="B243" s="111"/>
      <c r="C243" s="35" t="s">
        <v>59</v>
      </c>
      <c r="D243" s="20" t="s">
        <v>60</v>
      </c>
      <c r="E243" s="20">
        <v>7581.808</v>
      </c>
      <c r="G243" s="113"/>
      <c r="J243" s="2"/>
      <c r="K243" s="2"/>
    </row>
    <row r="244" spans="2:12">
      <c r="B244" s="109" t="s">
        <v>6</v>
      </c>
      <c r="C244" s="13" t="s">
        <v>26</v>
      </c>
      <c r="D244" s="32">
        <v>545.96</v>
      </c>
      <c r="E244" s="41">
        <v>8483.33</v>
      </c>
      <c r="G244" s="113"/>
      <c r="J244" s="2"/>
      <c r="K244" s="2"/>
    </row>
    <row r="245" spans="2:12" ht="30">
      <c r="B245" s="110"/>
      <c r="C245" s="14" t="s">
        <v>58</v>
      </c>
      <c r="D245" s="16">
        <v>119.42</v>
      </c>
      <c r="E245" s="36">
        <v>1206.95</v>
      </c>
      <c r="G245" s="113"/>
      <c r="J245" s="2"/>
      <c r="K245" s="2"/>
    </row>
    <row r="246" spans="2:12">
      <c r="B246" s="110"/>
      <c r="C246" s="14" t="s">
        <v>59</v>
      </c>
      <c r="D246" s="16" t="s">
        <v>136</v>
      </c>
      <c r="E246" s="36">
        <v>7095.8580000000002</v>
      </c>
      <c r="G246" s="2"/>
      <c r="H246" s="2"/>
      <c r="J246" s="2"/>
      <c r="K246" s="2"/>
    </row>
    <row r="247" spans="2:12" ht="30.75" thickBot="1">
      <c r="B247" s="111"/>
      <c r="C247" s="35" t="s">
        <v>61</v>
      </c>
      <c r="D247" s="20">
        <v>9.59</v>
      </c>
      <c r="E247" s="20">
        <v>180.53</v>
      </c>
      <c r="G247" s="2"/>
      <c r="H247" s="2"/>
      <c r="J247" s="2"/>
      <c r="K247" s="2"/>
      <c r="L247" s="116"/>
    </row>
    <row r="248" spans="2:12">
      <c r="G248" s="2"/>
      <c r="H248" s="2"/>
      <c r="I248" s="2"/>
      <c r="J248" s="2"/>
      <c r="K248" s="2"/>
    </row>
    <row r="249" spans="2:12" ht="18.75">
      <c r="B249" s="28" t="s">
        <v>29</v>
      </c>
      <c r="C249" s="28"/>
      <c r="D249" s="2"/>
      <c r="E249" s="2"/>
      <c r="F249" s="2"/>
      <c r="G249" s="2"/>
      <c r="H249" s="2"/>
      <c r="I249" s="2"/>
      <c r="J249" s="2"/>
      <c r="K249" s="2"/>
      <c r="L249" s="116"/>
    </row>
    <row r="250" spans="2:12" ht="16.5" thickBot="1">
      <c r="B250" s="7" t="s">
        <v>30</v>
      </c>
      <c r="C250" s="5"/>
      <c r="D250" s="2"/>
      <c r="E250" s="2"/>
      <c r="F250" s="2"/>
      <c r="G250" s="2"/>
      <c r="H250" s="2"/>
      <c r="I250" s="2"/>
      <c r="J250" s="2"/>
      <c r="K250" s="2"/>
      <c r="L250" s="116"/>
    </row>
    <row r="251" spans="2:12" ht="30">
      <c r="B251" s="212" t="s">
        <v>332</v>
      </c>
      <c r="C251" s="8"/>
      <c r="D251" s="8" t="s">
        <v>31</v>
      </c>
      <c r="E251" s="8" t="s">
        <v>32</v>
      </c>
      <c r="F251" s="8" t="s">
        <v>33</v>
      </c>
      <c r="G251" s="2"/>
      <c r="H251" s="2"/>
      <c r="I251" s="2"/>
      <c r="J251" s="2"/>
      <c r="K251" s="2"/>
      <c r="L251" s="116"/>
    </row>
    <row r="252" spans="2:12">
      <c r="B252" s="9"/>
      <c r="C252" s="224" t="s">
        <v>26</v>
      </c>
      <c r="D252" s="138">
        <f>SUM(D253:D256)</f>
        <v>27079.262675454553</v>
      </c>
      <c r="E252" s="138">
        <f>SUM(E253:E256)</f>
        <v>66504.263493366088</v>
      </c>
      <c r="F252" s="138">
        <f>SUM(F253:F256)</f>
        <v>4108</v>
      </c>
      <c r="H252" s="2"/>
      <c r="I252" s="2"/>
      <c r="J252" s="2"/>
      <c r="K252" s="2"/>
      <c r="L252" s="116"/>
    </row>
    <row r="253" spans="2:12">
      <c r="B253" s="9"/>
      <c r="C253" s="226" t="s">
        <v>34</v>
      </c>
      <c r="D253" s="63">
        <v>24462.807766363643</v>
      </c>
      <c r="E253" s="63">
        <v>63565</v>
      </c>
      <c r="F253" s="63">
        <v>4108</v>
      </c>
      <c r="G253" s="130" t="s">
        <v>359</v>
      </c>
      <c r="H253" s="2"/>
      <c r="I253" s="2"/>
      <c r="J253" s="70"/>
      <c r="K253" s="70"/>
      <c r="L253" s="116"/>
    </row>
    <row r="254" spans="2:12">
      <c r="B254" s="9"/>
      <c r="C254" s="226" t="s">
        <v>35</v>
      </c>
      <c r="D254" s="63">
        <v>1619.1754090909078</v>
      </c>
      <c r="E254" s="63">
        <v>591.57286363636354</v>
      </c>
      <c r="F254" s="63">
        <v>0</v>
      </c>
      <c r="G254" s="57"/>
      <c r="H254" s="2"/>
      <c r="I254" s="2"/>
      <c r="J254" s="2"/>
      <c r="K254" s="2"/>
      <c r="L254" s="116"/>
    </row>
    <row r="255" spans="2:12" ht="16.5" thickBot="1">
      <c r="B255" s="9"/>
      <c r="C255" s="260" t="s">
        <v>111</v>
      </c>
      <c r="D255" s="261">
        <f>996.555+0.7245</f>
        <v>997.27949999999998</v>
      </c>
      <c r="E255" s="261">
        <f>2339.62662972973+8.064</f>
        <v>2347.6906297297301</v>
      </c>
      <c r="F255" s="261">
        <v>0</v>
      </c>
      <c r="G255" s="2"/>
      <c r="H255" s="2"/>
      <c r="I255" s="2"/>
      <c r="J255" s="69"/>
      <c r="K255" s="70"/>
    </row>
    <row r="256" spans="2:12" ht="16.5" hidden="1" thickBot="1">
      <c r="B256" s="9"/>
      <c r="C256" s="226"/>
      <c r="D256" s="63"/>
      <c r="E256" s="63"/>
      <c r="F256" s="63"/>
      <c r="G256" s="2"/>
      <c r="H256" s="2"/>
      <c r="I256" s="2"/>
      <c r="J256" s="127"/>
      <c r="K256" s="70"/>
    </row>
    <row r="257" spans="2:11" ht="30">
      <c r="B257" s="87" t="s">
        <v>105</v>
      </c>
      <c r="C257" s="8"/>
      <c r="D257" s="8" t="s">
        <v>31</v>
      </c>
      <c r="E257" s="8" t="s">
        <v>32</v>
      </c>
      <c r="F257" s="8" t="s">
        <v>33</v>
      </c>
      <c r="G257" s="2"/>
      <c r="H257" s="2"/>
      <c r="I257" s="2"/>
      <c r="J257" s="2"/>
      <c r="K257" s="70"/>
    </row>
    <row r="258" spans="2:11">
      <c r="B258" s="9"/>
      <c r="C258" s="19" t="s">
        <v>26</v>
      </c>
      <c r="D258" s="10">
        <v>29567</v>
      </c>
      <c r="E258" s="131">
        <v>91951</v>
      </c>
      <c r="F258" s="10">
        <v>86</v>
      </c>
      <c r="H258" s="2"/>
      <c r="I258" s="2"/>
      <c r="J258" s="2"/>
      <c r="K258" s="70"/>
    </row>
    <row r="259" spans="2:11">
      <c r="B259" s="9"/>
      <c r="C259" s="9" t="s">
        <v>34</v>
      </c>
      <c r="D259" s="63">
        <v>26373</v>
      </c>
      <c r="E259" s="132">
        <v>60606</v>
      </c>
      <c r="F259" s="63">
        <v>49</v>
      </c>
      <c r="G259" s="130" t="s">
        <v>144</v>
      </c>
      <c r="H259" s="2"/>
      <c r="I259" s="2"/>
      <c r="J259" s="70"/>
      <c r="K259" s="70"/>
    </row>
    <row r="260" spans="2:11">
      <c r="B260" s="9"/>
      <c r="C260" s="9" t="s">
        <v>35</v>
      </c>
      <c r="D260" s="63">
        <v>2314</v>
      </c>
      <c r="E260" s="132">
        <v>28986</v>
      </c>
      <c r="F260" s="63">
        <v>0</v>
      </c>
      <c r="G260" s="57"/>
      <c r="H260" s="2"/>
      <c r="I260" s="2"/>
      <c r="J260" s="2"/>
      <c r="K260" s="70"/>
    </row>
    <row r="261" spans="2:11">
      <c r="B261" s="9"/>
      <c r="C261" s="9" t="s">
        <v>36</v>
      </c>
      <c r="D261" s="63">
        <v>879</v>
      </c>
      <c r="E261" s="132">
        <f>[4]Product!$Q$9</f>
        <v>2350.8353906916996</v>
      </c>
      <c r="F261" s="63">
        <v>37</v>
      </c>
      <c r="G261" s="2"/>
      <c r="H261" s="2"/>
      <c r="I261" s="2"/>
      <c r="J261" s="69"/>
    </row>
    <row r="262" spans="2:11" ht="16.5" thickBot="1">
      <c r="B262" s="9"/>
      <c r="C262" s="9" t="s">
        <v>111</v>
      </c>
      <c r="D262" s="63">
        <v>0.72449999999999992</v>
      </c>
      <c r="E262" s="63">
        <v>5</v>
      </c>
      <c r="F262" s="63">
        <v>0</v>
      </c>
      <c r="G262" s="2"/>
      <c r="H262" s="2"/>
      <c r="I262" s="2"/>
      <c r="J262" s="127"/>
    </row>
    <row r="263" spans="2:11">
      <c r="B263" s="272" t="s">
        <v>135</v>
      </c>
      <c r="C263" s="273"/>
      <c r="D263" s="8"/>
      <c r="E263" s="8"/>
      <c r="F263" s="8"/>
      <c r="G263" s="2"/>
      <c r="H263" s="2"/>
      <c r="I263" s="2"/>
      <c r="J263" s="129"/>
    </row>
    <row r="264" spans="2:11">
      <c r="B264" s="19"/>
      <c r="C264" s="19" t="s">
        <v>26</v>
      </c>
      <c r="D264" s="29">
        <f>SUM(D265:D267)</f>
        <v>30539.462</v>
      </c>
      <c r="E264" s="29">
        <v>59657</v>
      </c>
      <c r="F264" s="29">
        <f t="shared" ref="F264" si="6">SUM(F265:F267)</f>
        <v>285.6105</v>
      </c>
      <c r="G264" s="130"/>
      <c r="H264" s="2"/>
      <c r="I264" s="2"/>
      <c r="J264" s="129"/>
    </row>
    <row r="265" spans="2:11">
      <c r="B265" s="19"/>
      <c r="C265" s="9" t="s">
        <v>34</v>
      </c>
      <c r="D265" s="133">
        <v>27750</v>
      </c>
      <c r="E265" s="74">
        <v>57056</v>
      </c>
      <c r="F265" s="132">
        <v>238.9905</v>
      </c>
      <c r="G265" s="2"/>
      <c r="H265" s="2"/>
      <c r="I265" s="2"/>
      <c r="J265" s="128"/>
    </row>
    <row r="266" spans="2:11">
      <c r="B266" s="19"/>
      <c r="C266" s="9" t="s">
        <v>35</v>
      </c>
      <c r="D266" s="133">
        <v>1995.4619999999986</v>
      </c>
      <c r="E266" s="74">
        <f>[4]Product!$P$11</f>
        <v>588.96599999999955</v>
      </c>
      <c r="F266" s="132">
        <v>0</v>
      </c>
      <c r="G266" s="57"/>
      <c r="H266" s="2"/>
      <c r="I266" s="2"/>
      <c r="J266" s="70"/>
      <c r="K266" s="2"/>
    </row>
    <row r="267" spans="2:11">
      <c r="B267" s="19"/>
      <c r="C267" s="9" t="s">
        <v>36</v>
      </c>
      <c r="D267" s="133">
        <v>794</v>
      </c>
      <c r="E267" s="74">
        <v>2004</v>
      </c>
      <c r="F267" s="133">
        <v>46.620000000000019</v>
      </c>
      <c r="G267" s="2"/>
      <c r="H267" s="70"/>
      <c r="I267" s="70"/>
      <c r="K267" s="2"/>
    </row>
    <row r="268" spans="2:11" ht="16.5" thickBot="1">
      <c r="B268" s="9"/>
      <c r="C268" s="9" t="s">
        <v>111</v>
      </c>
      <c r="D268" s="63" t="s">
        <v>16</v>
      </c>
      <c r="E268" s="132">
        <f>[4]Product!$Q$8</f>
        <v>8.0639999999999983</v>
      </c>
      <c r="F268" s="63">
        <v>0</v>
      </c>
      <c r="G268" s="2"/>
      <c r="H268" s="2"/>
      <c r="I268" s="2"/>
      <c r="K268" s="2"/>
    </row>
    <row r="269" spans="2:11">
      <c r="B269" s="272" t="s">
        <v>134</v>
      </c>
      <c r="C269" s="274"/>
      <c r="D269" s="8"/>
      <c r="E269" s="8"/>
      <c r="F269" s="8"/>
      <c r="G269" s="2"/>
      <c r="H269" s="69"/>
      <c r="I269" s="69"/>
      <c r="K269" s="2"/>
    </row>
    <row r="270" spans="2:11">
      <c r="B270" s="19"/>
      <c r="C270" s="19" t="s">
        <v>26</v>
      </c>
      <c r="D270" s="29">
        <v>33436</v>
      </c>
      <c r="E270" s="29">
        <v>65545</v>
      </c>
      <c r="F270" s="29">
        <v>271</v>
      </c>
      <c r="G270" s="57"/>
      <c r="H270" s="127"/>
      <c r="I270" s="127"/>
      <c r="K270" s="2"/>
    </row>
    <row r="271" spans="2:11">
      <c r="B271" s="19"/>
      <c r="C271" s="9" t="s">
        <v>34</v>
      </c>
      <c r="D271" s="30">
        <v>30035</v>
      </c>
      <c r="E271" s="30">
        <v>62986</v>
      </c>
      <c r="F271" s="15">
        <v>229</v>
      </c>
      <c r="G271" s="2"/>
      <c r="H271" s="128"/>
      <c r="I271" s="128"/>
      <c r="K271" s="2"/>
    </row>
    <row r="272" spans="2:11">
      <c r="B272" s="19"/>
      <c r="C272" s="9" t="s">
        <v>35</v>
      </c>
      <c r="D272" s="30">
        <v>1996</v>
      </c>
      <c r="E272" s="30">
        <v>609</v>
      </c>
      <c r="F272" s="15" t="s">
        <v>16</v>
      </c>
      <c r="G272" s="2"/>
      <c r="H272" s="128"/>
      <c r="I272" s="128"/>
      <c r="J272" s="2"/>
      <c r="K272" s="2"/>
    </row>
    <row r="273" spans="2:19" ht="16.5" thickBot="1">
      <c r="B273" s="19"/>
      <c r="C273" s="24" t="s">
        <v>36</v>
      </c>
      <c r="D273" s="30">
        <v>1405</v>
      </c>
      <c r="E273" s="30">
        <v>1950</v>
      </c>
      <c r="F273" s="30">
        <v>42</v>
      </c>
      <c r="G273" s="2"/>
      <c r="H273" s="128"/>
      <c r="I273" s="128"/>
      <c r="J273" s="2"/>
      <c r="K273" s="2"/>
    </row>
    <row r="274" spans="2:19" ht="16.5" thickBot="1">
      <c r="B274" s="272" t="s">
        <v>5</v>
      </c>
      <c r="C274" s="274"/>
      <c r="D274" s="8"/>
      <c r="E274" s="8"/>
      <c r="F274" s="8"/>
      <c r="G274" s="2"/>
      <c r="H274" s="70"/>
      <c r="I274" s="70"/>
      <c r="J274" s="2"/>
      <c r="L274" s="2"/>
    </row>
    <row r="275" spans="2:19" ht="16.5" thickBot="1">
      <c r="B275" s="19"/>
      <c r="C275" s="19" t="s">
        <v>26</v>
      </c>
      <c r="D275" s="31">
        <v>28290.69</v>
      </c>
      <c r="E275" s="8"/>
      <c r="F275" s="32">
        <v>490.42</v>
      </c>
      <c r="G275" s="2"/>
      <c r="J275" s="2"/>
      <c r="L275" s="2"/>
    </row>
    <row r="276" spans="2:19" ht="16.5" thickBot="1">
      <c r="B276" s="19"/>
      <c r="C276" s="9" t="s">
        <v>34</v>
      </c>
      <c r="D276" s="33">
        <v>24837.59</v>
      </c>
      <c r="E276" s="8"/>
      <c r="F276" s="16">
        <v>418.43</v>
      </c>
      <c r="G276" s="2"/>
      <c r="J276" s="2"/>
      <c r="L276" s="2"/>
    </row>
    <row r="277" spans="2:19" ht="16.5" thickBot="1">
      <c r="B277" s="19"/>
      <c r="C277" s="9" t="s">
        <v>35</v>
      </c>
      <c r="D277" s="33">
        <v>2070.79</v>
      </c>
      <c r="E277" s="8"/>
      <c r="F277" s="16" t="s">
        <v>16</v>
      </c>
      <c r="G277" s="2"/>
      <c r="J277" s="2"/>
      <c r="L277" s="2"/>
    </row>
    <row r="278" spans="2:19" ht="16.5" thickBot="1">
      <c r="B278" s="19"/>
      <c r="C278" s="24" t="s">
        <v>36</v>
      </c>
      <c r="D278" s="34">
        <v>1382.31</v>
      </c>
      <c r="E278" s="8"/>
      <c r="F278" s="20">
        <v>71.989999999999995</v>
      </c>
      <c r="G278" s="2"/>
      <c r="J278" s="2"/>
      <c r="K278" s="2"/>
      <c r="L278" s="2"/>
    </row>
    <row r="279" spans="2:19" ht="16.5" thickBot="1">
      <c r="B279" s="272" t="s">
        <v>6</v>
      </c>
      <c r="C279" s="274"/>
      <c r="D279" s="8"/>
      <c r="E279" s="8"/>
      <c r="F279" s="8"/>
      <c r="G279" s="2"/>
      <c r="J279" s="2"/>
      <c r="K279" s="2"/>
      <c r="L279" s="70"/>
      <c r="M279" s="116"/>
      <c r="N279" s="116"/>
      <c r="O279" s="116"/>
      <c r="P279" s="116"/>
      <c r="Q279" s="116"/>
      <c r="R279" s="116"/>
      <c r="S279" s="116"/>
    </row>
    <row r="280" spans="2:19" ht="15" customHeight="1" thickBot="1">
      <c r="B280" s="19"/>
      <c r="C280" s="19" t="s">
        <v>26</v>
      </c>
      <c r="D280" s="31">
        <v>23939.82</v>
      </c>
      <c r="E280" s="12"/>
      <c r="F280" s="32">
        <v>446.78</v>
      </c>
      <c r="G280" s="2"/>
      <c r="H280" s="2"/>
      <c r="I280" s="2"/>
      <c r="K280" s="2"/>
      <c r="L280" s="107"/>
      <c r="M280" s="107"/>
      <c r="N280" s="107"/>
      <c r="O280" s="107"/>
      <c r="P280" s="107"/>
      <c r="Q280" s="107"/>
      <c r="R280" s="107"/>
      <c r="S280" s="107"/>
    </row>
    <row r="281" spans="2:19" ht="16.5" thickBot="1">
      <c r="B281" s="19"/>
      <c r="C281" s="9" t="s">
        <v>34</v>
      </c>
      <c r="D281" s="33">
        <v>23939.82</v>
      </c>
      <c r="E281" s="12"/>
      <c r="F281" s="16">
        <v>402.27</v>
      </c>
      <c r="G281" s="2"/>
      <c r="H281" s="2"/>
      <c r="I281" s="2"/>
      <c r="K281" s="2"/>
      <c r="L281" s="121"/>
      <c r="M281" s="121"/>
      <c r="N281" s="121"/>
      <c r="O281" s="121"/>
      <c r="P281" s="121"/>
      <c r="Q281" s="121"/>
      <c r="R281" s="121"/>
      <c r="S281" s="121"/>
    </row>
    <row r="282" spans="2:19" ht="16.5" thickBot="1">
      <c r="B282" s="19"/>
      <c r="C282" s="9" t="s">
        <v>35</v>
      </c>
      <c r="D282" s="33">
        <v>2726.43</v>
      </c>
      <c r="E282" s="12"/>
      <c r="F282" s="16" t="s">
        <v>16</v>
      </c>
      <c r="G282" s="2"/>
      <c r="H282" s="2"/>
      <c r="I282" s="2"/>
      <c r="K282" s="2"/>
      <c r="L282" s="122"/>
      <c r="M282" s="122"/>
      <c r="N282" s="121"/>
      <c r="O282" s="122"/>
      <c r="P282" s="121"/>
      <c r="Q282" s="122"/>
      <c r="R282" s="122"/>
      <c r="S282" s="121"/>
    </row>
    <row r="283" spans="2:19" ht="16.5" thickBot="1">
      <c r="B283" s="24"/>
      <c r="C283" s="24" t="s">
        <v>36</v>
      </c>
      <c r="D283" s="35">
        <v>392.32</v>
      </c>
      <c r="E283" s="12"/>
      <c r="F283" s="20">
        <v>44.5</v>
      </c>
      <c r="G283" s="2"/>
      <c r="H283" s="2"/>
      <c r="I283" s="2"/>
      <c r="K283" s="2"/>
      <c r="L283" s="122"/>
      <c r="M283" s="121"/>
      <c r="N283" s="121"/>
      <c r="O283" s="122"/>
      <c r="P283" s="121"/>
      <c r="Q283" s="121"/>
      <c r="R283" s="121"/>
      <c r="S283" s="121"/>
    </row>
    <row r="284" spans="2:19">
      <c r="B284" s="5"/>
      <c r="C284" s="5"/>
      <c r="D284" s="2"/>
      <c r="E284" s="2"/>
      <c r="F284" s="2"/>
      <c r="G284" s="2"/>
      <c r="H284" s="2"/>
      <c r="I284" s="2"/>
      <c r="J284" s="2"/>
      <c r="K284" s="2"/>
      <c r="L284" s="123"/>
      <c r="M284" s="123"/>
      <c r="N284" s="123"/>
      <c r="O284" s="123"/>
      <c r="P284" s="123"/>
      <c r="Q284" s="123"/>
      <c r="R284" s="123"/>
      <c r="S284" s="121"/>
    </row>
    <row r="285" spans="2:19">
      <c r="B285" s="5"/>
      <c r="C285" s="5"/>
      <c r="D285" s="2"/>
      <c r="E285" s="2"/>
      <c r="F285" s="2"/>
      <c r="G285" s="2"/>
      <c r="H285" s="2"/>
      <c r="I285" s="2"/>
      <c r="J285" s="2"/>
      <c r="K285" s="70"/>
      <c r="L285" s="70"/>
      <c r="M285" s="116"/>
      <c r="N285" s="116"/>
      <c r="O285" s="116"/>
      <c r="P285" s="116"/>
      <c r="Q285" s="116"/>
      <c r="R285" s="116"/>
      <c r="S285" s="116"/>
    </row>
    <row r="286" spans="2:19">
      <c r="B286" s="7" t="s">
        <v>112</v>
      </c>
      <c r="C286" s="7"/>
      <c r="D286" s="2"/>
      <c r="E286" s="2"/>
      <c r="F286" s="2"/>
      <c r="G286" s="2"/>
      <c r="H286" s="2"/>
      <c r="I286" s="2"/>
      <c r="J286" s="2"/>
      <c r="K286" s="107"/>
      <c r="L286" s="2"/>
    </row>
    <row r="287" spans="2:19" ht="16.5" thickBot="1">
      <c r="B287" s="5"/>
      <c r="C287" s="5"/>
      <c r="D287" s="2"/>
      <c r="E287" s="2"/>
      <c r="F287" s="2"/>
      <c r="G287" s="2"/>
      <c r="H287" s="2"/>
      <c r="I287" s="2"/>
      <c r="J287" s="2"/>
      <c r="K287" s="58"/>
      <c r="L287" s="2"/>
    </row>
    <row r="288" spans="2:19">
      <c r="B288" s="87"/>
      <c r="C288" s="8" t="s">
        <v>105</v>
      </c>
      <c r="D288" s="8" t="s">
        <v>105</v>
      </c>
      <c r="E288" s="8" t="s">
        <v>4</v>
      </c>
      <c r="F288" s="8" t="s">
        <v>5</v>
      </c>
      <c r="G288" s="8" t="s">
        <v>6</v>
      </c>
      <c r="H288" s="2"/>
      <c r="J288" s="2"/>
      <c r="K288" s="58"/>
      <c r="L288" s="2"/>
    </row>
    <row r="289" spans="2:12" ht="60">
      <c r="B289" s="9" t="s">
        <v>129</v>
      </c>
      <c r="C289" s="63">
        <v>3912</v>
      </c>
      <c r="D289" s="63">
        <v>4610</v>
      </c>
      <c r="E289" s="63">
        <v>4901</v>
      </c>
      <c r="F289" s="48" t="s">
        <v>117</v>
      </c>
      <c r="G289" s="275" t="s">
        <v>118</v>
      </c>
      <c r="H289" s="2"/>
      <c r="J289" s="2"/>
      <c r="K289" s="58"/>
      <c r="L289" s="2"/>
    </row>
    <row r="290" spans="2:12" ht="45">
      <c r="B290" s="9" t="s">
        <v>131</v>
      </c>
      <c r="C290" s="63" t="s">
        <v>16</v>
      </c>
      <c r="D290" s="63" t="s">
        <v>16</v>
      </c>
      <c r="E290" s="63" t="s">
        <v>133</v>
      </c>
      <c r="F290" s="48" t="s">
        <v>132</v>
      </c>
      <c r="G290" s="275"/>
      <c r="H290" s="94"/>
      <c r="J290" s="2"/>
      <c r="K290" s="119"/>
      <c r="L290" s="2"/>
    </row>
    <row r="291" spans="2:12" ht="60.75" thickBot="1">
      <c r="B291" s="24" t="s">
        <v>130</v>
      </c>
      <c r="C291" s="99">
        <v>47828</v>
      </c>
      <c r="D291" s="99">
        <v>47219</v>
      </c>
      <c r="E291" s="99">
        <v>48815</v>
      </c>
      <c r="F291" s="98">
        <v>41720</v>
      </c>
      <c r="G291" s="98">
        <v>47582</v>
      </c>
      <c r="J291" s="2"/>
      <c r="K291" s="70"/>
      <c r="L291" s="2"/>
    </row>
    <row r="292" spans="2:12">
      <c r="B292" s="5"/>
      <c r="C292" s="5"/>
      <c r="D292" s="2"/>
      <c r="E292" s="2"/>
      <c r="F292" s="2"/>
      <c r="G292" s="2"/>
      <c r="H292" s="2"/>
      <c r="I292" s="2"/>
      <c r="J292" s="2"/>
      <c r="K292" s="2"/>
      <c r="L292" s="2"/>
    </row>
    <row r="293" spans="2:12" ht="16.5" thickBot="1">
      <c r="B293" s="7" t="s">
        <v>37</v>
      </c>
      <c r="C293" s="7"/>
      <c r="D293" s="2"/>
      <c r="E293" s="2"/>
      <c r="F293" s="2"/>
      <c r="G293" s="2"/>
      <c r="H293" s="2"/>
      <c r="I293" s="2"/>
      <c r="J293" s="2"/>
      <c r="K293" s="2"/>
      <c r="L293" s="2"/>
    </row>
    <row r="294" spans="2:12" ht="45">
      <c r="B294" s="212" t="s">
        <v>332</v>
      </c>
      <c r="C294" s="8" t="s">
        <v>113</v>
      </c>
      <c r="D294" s="8" t="s">
        <v>114</v>
      </c>
      <c r="E294" s="8" t="s">
        <v>38</v>
      </c>
      <c r="F294" s="8" t="s">
        <v>39</v>
      </c>
      <c r="G294" s="8" t="s">
        <v>40</v>
      </c>
      <c r="H294" s="8" t="s">
        <v>41</v>
      </c>
      <c r="I294" s="8" t="s">
        <v>11</v>
      </c>
      <c r="J294" s="8" t="s">
        <v>119</v>
      </c>
      <c r="K294" s="2"/>
      <c r="L294" s="2"/>
    </row>
    <row r="295" spans="2:12">
      <c r="B295" s="226" t="s">
        <v>34</v>
      </c>
      <c r="C295" s="100">
        <v>3620.5599999999981</v>
      </c>
      <c r="D295" s="100">
        <v>43847.021661859697</v>
      </c>
      <c r="E295" s="100">
        <v>3894.6316818181822</v>
      </c>
      <c r="F295" s="100">
        <v>271.43799999999993</v>
      </c>
      <c r="G295" s="100">
        <v>4398.2300000000032</v>
      </c>
      <c r="H295" s="100">
        <v>594.00000000000011</v>
      </c>
      <c r="I295" s="74">
        <f>SUM(C295:H295)</f>
        <v>56625.88134367788</v>
      </c>
      <c r="J295" s="100">
        <v>101.41999999999997</v>
      </c>
      <c r="K295" s="2"/>
    </row>
    <row r="296" spans="2:12">
      <c r="B296" s="226" t="s">
        <v>43</v>
      </c>
      <c r="C296" s="100">
        <v>0</v>
      </c>
      <c r="D296" s="100">
        <v>0</v>
      </c>
      <c r="E296" s="100">
        <v>21.620000000000005</v>
      </c>
      <c r="F296" s="100">
        <v>0</v>
      </c>
      <c r="G296" s="100">
        <v>541.78272727272736</v>
      </c>
      <c r="H296" s="100">
        <v>0</v>
      </c>
      <c r="I296" s="74">
        <f t="shared" ref="I296:I297" si="7">SUM(C296:H296)</f>
        <v>563.40272727272736</v>
      </c>
      <c r="J296" s="100">
        <v>0</v>
      </c>
      <c r="K296" s="2"/>
    </row>
    <row r="297" spans="2:12">
      <c r="B297" s="260" t="s">
        <v>111</v>
      </c>
      <c r="C297" s="262">
        <v>0</v>
      </c>
      <c r="D297" s="262">
        <v>360.14283783783787</v>
      </c>
      <c r="E297" s="262">
        <f>218.17+7.68</f>
        <v>225.85</v>
      </c>
      <c r="F297" s="262">
        <v>0</v>
      </c>
      <c r="G297" s="262">
        <v>1235.0930000000003</v>
      </c>
      <c r="H297" s="262">
        <v>414.81000000000006</v>
      </c>
      <c r="I297" s="263">
        <f t="shared" si="7"/>
        <v>2235.8958378378384</v>
      </c>
      <c r="J297" s="262">
        <v>100.59999999999998</v>
      </c>
      <c r="K297" s="2"/>
    </row>
    <row r="298" spans="2:12" ht="14" hidden="1" customHeight="1">
      <c r="B298" s="226"/>
      <c r="C298" s="100"/>
      <c r="D298" s="100"/>
      <c r="E298" s="100"/>
      <c r="F298" s="100"/>
      <c r="G298" s="100"/>
      <c r="H298" s="100"/>
      <c r="I298" s="74"/>
      <c r="J298" s="100"/>
      <c r="K298" s="2"/>
    </row>
    <row r="299" spans="2:12" ht="16.5" thickBot="1">
      <c r="B299" s="224" t="s">
        <v>11</v>
      </c>
      <c r="C299" s="253">
        <f>SUM(C295:C298)</f>
        <v>3620.5599999999981</v>
      </c>
      <c r="D299" s="253">
        <f t="shared" ref="D299:H299" si="8">SUM(D295:D298)</f>
        <v>44207.164499697537</v>
      </c>
      <c r="E299" s="253">
        <f t="shared" si="8"/>
        <v>4142.1016818181824</v>
      </c>
      <c r="F299" s="253">
        <f t="shared" si="8"/>
        <v>271.43799999999993</v>
      </c>
      <c r="G299" s="253">
        <f t="shared" si="8"/>
        <v>6175.1057272727303</v>
      </c>
      <c r="H299" s="253">
        <f t="shared" si="8"/>
        <v>1008.8100000000002</v>
      </c>
      <c r="I299" s="253">
        <f>SUM(C299:H299)</f>
        <v>59425.179908788443</v>
      </c>
      <c r="J299" s="253">
        <f>SUM(J295:J298)</f>
        <v>202.01999999999995</v>
      </c>
      <c r="K299" s="2"/>
    </row>
    <row r="300" spans="2:12" ht="45">
      <c r="B300" s="87" t="s">
        <v>105</v>
      </c>
      <c r="C300" s="8" t="s">
        <v>113</v>
      </c>
      <c r="D300" s="8" t="s">
        <v>114</v>
      </c>
      <c r="E300" s="8" t="s">
        <v>38</v>
      </c>
      <c r="F300" s="8" t="s">
        <v>39</v>
      </c>
      <c r="G300" s="8" t="s">
        <v>40</v>
      </c>
      <c r="H300" s="8" t="s">
        <v>41</v>
      </c>
      <c r="I300" s="8" t="s">
        <v>11</v>
      </c>
      <c r="J300" s="8" t="s">
        <v>119</v>
      </c>
      <c r="K300" s="2"/>
      <c r="L300" s="2"/>
    </row>
    <row r="301" spans="2:12">
      <c r="B301" s="9" t="s">
        <v>34</v>
      </c>
      <c r="C301" s="134">
        <v>3801.587999999997</v>
      </c>
      <c r="D301" s="134">
        <v>46839</v>
      </c>
      <c r="E301" s="134">
        <v>3627</v>
      </c>
      <c r="F301" s="134">
        <v>274.61490000000003</v>
      </c>
      <c r="G301" s="134">
        <v>4801</v>
      </c>
      <c r="H301" s="134">
        <v>1264.2735</v>
      </c>
      <c r="I301" s="133">
        <f>SUM(C301:H301)</f>
        <v>60607.4764</v>
      </c>
      <c r="J301" s="134">
        <v>125</v>
      </c>
      <c r="L301" s="2"/>
    </row>
    <row r="302" spans="2:12">
      <c r="B302" s="9" t="s">
        <v>43</v>
      </c>
      <c r="C302" s="134" t="s">
        <v>16</v>
      </c>
      <c r="D302" s="100" t="s">
        <v>16</v>
      </c>
      <c r="E302" s="100">
        <v>22.522500000000001</v>
      </c>
      <c r="F302" s="134" t="s">
        <v>16</v>
      </c>
      <c r="G302" s="100">
        <v>28963.200000000001</v>
      </c>
      <c r="H302" s="134" t="s">
        <v>16</v>
      </c>
      <c r="I302" s="133">
        <f>SUM(C302:H302)</f>
        <v>28985.7225</v>
      </c>
      <c r="J302" s="100">
        <v>0</v>
      </c>
      <c r="L302" s="2"/>
    </row>
    <row r="303" spans="2:12">
      <c r="B303" s="9" t="s">
        <v>36</v>
      </c>
      <c r="C303" s="134" t="s">
        <v>16</v>
      </c>
      <c r="D303" s="134">
        <v>380</v>
      </c>
      <c r="E303" s="134">
        <v>311</v>
      </c>
      <c r="F303" s="134" t="s">
        <v>16</v>
      </c>
      <c r="G303" s="134">
        <v>1292</v>
      </c>
      <c r="H303" s="134">
        <v>369</v>
      </c>
      <c r="I303" s="133">
        <f>SUM(C303:H303)</f>
        <v>2352</v>
      </c>
      <c r="J303" s="134">
        <v>165</v>
      </c>
      <c r="L303" s="2"/>
    </row>
    <row r="304" spans="2:12">
      <c r="B304" s="9" t="s">
        <v>111</v>
      </c>
      <c r="C304" s="134" t="s">
        <v>16</v>
      </c>
      <c r="D304" s="134" t="s">
        <v>16</v>
      </c>
      <c r="E304" s="134">
        <v>5.04</v>
      </c>
      <c r="F304" s="134" t="s">
        <v>16</v>
      </c>
      <c r="G304" s="134" t="s">
        <v>16</v>
      </c>
      <c r="H304" s="134" t="s">
        <v>16</v>
      </c>
      <c r="I304" s="133">
        <f>SUM(C304:H304)</f>
        <v>5.04</v>
      </c>
      <c r="J304" s="134" t="s">
        <v>16</v>
      </c>
      <c r="L304" s="2"/>
    </row>
    <row r="305" spans="2:11" ht="16.5" thickBot="1">
      <c r="B305" s="19" t="s">
        <v>11</v>
      </c>
      <c r="C305" s="135">
        <f>SUM(C301:C304)</f>
        <v>3801.587999999997</v>
      </c>
      <c r="D305" s="29">
        <f t="shared" ref="D305:H305" si="9">SUM(D301:D304)</f>
        <v>47219</v>
      </c>
      <c r="E305" s="29">
        <f t="shared" si="9"/>
        <v>3965.5625</v>
      </c>
      <c r="F305" s="135">
        <f t="shared" si="9"/>
        <v>274.61490000000003</v>
      </c>
      <c r="G305" s="29">
        <f t="shared" si="9"/>
        <v>35056.199999999997</v>
      </c>
      <c r="H305" s="29">
        <f t="shared" si="9"/>
        <v>1633.2735</v>
      </c>
      <c r="I305" s="29">
        <f>SUM(C305:H305)</f>
        <v>91950.238899999982</v>
      </c>
      <c r="J305" s="29">
        <f>SUM(J301:J304)</f>
        <v>290</v>
      </c>
      <c r="K305" s="2"/>
    </row>
    <row r="306" spans="2:11">
      <c r="B306" s="272" t="s">
        <v>135</v>
      </c>
      <c r="C306" s="273"/>
      <c r="D306" s="12"/>
      <c r="E306" s="12"/>
      <c r="F306" s="12"/>
      <c r="G306" s="12"/>
      <c r="H306" s="12"/>
      <c r="I306" s="12"/>
      <c r="J306" s="12"/>
      <c r="K306" s="2"/>
    </row>
    <row r="307" spans="2:11">
      <c r="B307" s="9" t="s">
        <v>34</v>
      </c>
      <c r="C307" s="134">
        <v>3985</v>
      </c>
      <c r="D307" s="134">
        <v>44851</v>
      </c>
      <c r="E307" s="134">
        <v>3240</v>
      </c>
      <c r="F307" s="134">
        <v>108.18149999999999</v>
      </c>
      <c r="G307" s="134">
        <v>4393</v>
      </c>
      <c r="H307" s="134">
        <v>478</v>
      </c>
      <c r="I307" s="134">
        <f>SUM(C307:H307)</f>
        <v>57055.181499999999</v>
      </c>
      <c r="J307" s="134">
        <v>118</v>
      </c>
      <c r="K307" s="2"/>
    </row>
    <row r="308" spans="2:11">
      <c r="B308" s="9" t="s">
        <v>43</v>
      </c>
      <c r="C308" s="134">
        <v>0</v>
      </c>
      <c r="D308" s="134">
        <v>0</v>
      </c>
      <c r="E308" s="134">
        <v>46</v>
      </c>
      <c r="F308" s="134">
        <v>0</v>
      </c>
      <c r="G308" s="134">
        <v>544</v>
      </c>
      <c r="H308" s="134">
        <v>0</v>
      </c>
      <c r="I308" s="134">
        <f>SUM(C308:H308)</f>
        <v>590</v>
      </c>
      <c r="J308" s="134" t="s">
        <v>16</v>
      </c>
      <c r="K308" s="2"/>
    </row>
    <row r="309" spans="2:11">
      <c r="B309" s="9" t="s">
        <v>36</v>
      </c>
      <c r="C309" s="134">
        <v>0</v>
      </c>
      <c r="D309" s="134">
        <v>369.05399999999997</v>
      </c>
      <c r="E309" s="134">
        <v>378.70349999999991</v>
      </c>
      <c r="F309" s="134">
        <v>0</v>
      </c>
      <c r="G309" s="134">
        <v>1073</v>
      </c>
      <c r="H309" s="134">
        <v>184</v>
      </c>
      <c r="I309" s="134">
        <f>SUM(C309:H309)</f>
        <v>2004.7574999999999</v>
      </c>
      <c r="J309" s="134">
        <v>40</v>
      </c>
      <c r="K309" s="2"/>
    </row>
    <row r="310" spans="2:11" ht="16.5" thickBot="1">
      <c r="B310" s="19" t="s">
        <v>11</v>
      </c>
      <c r="C310" s="124">
        <f>SUM(C307:C309)</f>
        <v>3985</v>
      </c>
      <c r="D310" s="136">
        <f t="shared" ref="D310:H310" si="10">SUM(D307:D309)</f>
        <v>45220.053999999996</v>
      </c>
      <c r="E310" s="124">
        <f>SUM(E307:E309)</f>
        <v>3664.7035000000001</v>
      </c>
      <c r="F310" s="124">
        <f t="shared" si="10"/>
        <v>108.18149999999999</v>
      </c>
      <c r="G310" s="124">
        <f t="shared" si="10"/>
        <v>6010</v>
      </c>
      <c r="H310" s="124">
        <f t="shared" si="10"/>
        <v>662</v>
      </c>
      <c r="I310" s="124">
        <f>SUM(C310:H310)</f>
        <v>59649.938999999998</v>
      </c>
      <c r="J310" s="137">
        <f>SUM(J307:J309)</f>
        <v>158</v>
      </c>
      <c r="K310" s="2"/>
    </row>
    <row r="311" spans="2:11">
      <c r="B311" s="87" t="s">
        <v>134</v>
      </c>
      <c r="C311" s="12"/>
      <c r="D311" s="12"/>
      <c r="E311" s="12"/>
      <c r="F311" s="12"/>
      <c r="G311" s="12"/>
      <c r="H311" s="12"/>
      <c r="I311" s="12"/>
      <c r="J311" s="2"/>
      <c r="K311" s="2"/>
    </row>
    <row r="312" spans="2:11">
      <c r="B312" s="9" t="s">
        <v>34</v>
      </c>
      <c r="C312" s="30">
        <v>1260</v>
      </c>
      <c r="D312" s="30">
        <v>47555</v>
      </c>
      <c r="E312" s="30">
        <v>4150</v>
      </c>
      <c r="F312" s="14">
        <v>106</v>
      </c>
      <c r="G312" s="30">
        <v>4537</v>
      </c>
      <c r="H312" s="14">
        <v>515</v>
      </c>
      <c r="I312" s="30">
        <v>58123</v>
      </c>
      <c r="J312" s="2"/>
      <c r="K312" s="2"/>
    </row>
    <row r="313" spans="2:11">
      <c r="B313" s="9" t="s">
        <v>43</v>
      </c>
      <c r="C313" s="16" t="s">
        <v>16</v>
      </c>
      <c r="D313" s="16"/>
      <c r="E313" s="14">
        <v>59</v>
      </c>
      <c r="F313" s="16" t="s">
        <v>16</v>
      </c>
      <c r="G313" s="30">
        <v>550</v>
      </c>
      <c r="H313" s="16" t="s">
        <v>16</v>
      </c>
      <c r="I313" s="30">
        <v>609</v>
      </c>
      <c r="J313" s="2"/>
      <c r="K313" s="2"/>
    </row>
    <row r="314" spans="2:11">
      <c r="B314" s="9" t="s">
        <v>36</v>
      </c>
      <c r="C314" s="14">
        <v>351</v>
      </c>
      <c r="D314" s="14"/>
      <c r="E314" s="14">
        <v>361</v>
      </c>
      <c r="F314" s="16" t="s">
        <v>16</v>
      </c>
      <c r="G314" s="30">
        <v>1023</v>
      </c>
      <c r="H314" s="14">
        <v>176</v>
      </c>
      <c r="I314" s="30">
        <v>1912</v>
      </c>
      <c r="J314" s="2"/>
      <c r="K314" s="2"/>
    </row>
    <row r="315" spans="2:11" ht="16.5" thickBot="1">
      <c r="B315" s="19" t="s">
        <v>11</v>
      </c>
      <c r="C315" s="29">
        <f>SUM(C312:C314)</f>
        <v>1611</v>
      </c>
      <c r="D315" s="29">
        <f>SUM(D312:D314)</f>
        <v>47555</v>
      </c>
      <c r="E315" s="29">
        <v>4570</v>
      </c>
      <c r="F315" s="13">
        <v>106</v>
      </c>
      <c r="G315" s="29">
        <v>6111</v>
      </c>
      <c r="H315" s="13">
        <v>691</v>
      </c>
      <c r="I315" s="29">
        <f>SUM(C315:H315)</f>
        <v>60644</v>
      </c>
      <c r="J315" s="2"/>
      <c r="K315" s="2"/>
    </row>
    <row r="316" spans="2:11">
      <c r="B316" s="87" t="s">
        <v>5</v>
      </c>
      <c r="C316" s="12"/>
      <c r="D316" s="12"/>
      <c r="E316" s="12"/>
      <c r="F316" s="12"/>
      <c r="G316" s="12"/>
      <c r="H316" s="12"/>
      <c r="I316" s="12"/>
      <c r="J316" s="2"/>
      <c r="K316" s="2"/>
    </row>
    <row r="317" spans="2:11">
      <c r="B317" s="9" t="s">
        <v>34</v>
      </c>
      <c r="C317" s="30">
        <v>3371</v>
      </c>
      <c r="D317" s="30">
        <v>38349</v>
      </c>
      <c r="E317" s="30">
        <v>3887</v>
      </c>
      <c r="F317" s="14">
        <v>33</v>
      </c>
      <c r="G317" s="30">
        <v>1238</v>
      </c>
      <c r="H317" s="14">
        <v>522</v>
      </c>
      <c r="I317" s="30">
        <f>SUM(C317:H317)</f>
        <v>47400</v>
      </c>
      <c r="J317" s="2"/>
    </row>
    <row r="318" spans="2:11">
      <c r="B318" s="9" t="s">
        <v>43</v>
      </c>
      <c r="C318" s="16" t="s">
        <v>16</v>
      </c>
      <c r="D318" s="16"/>
      <c r="E318" s="16">
        <v>31</v>
      </c>
      <c r="F318" s="16" t="s">
        <v>16</v>
      </c>
      <c r="G318" s="15">
        <v>7968</v>
      </c>
      <c r="H318" s="16">
        <v>9</v>
      </c>
      <c r="I318" s="15">
        <v>8008</v>
      </c>
      <c r="J318" s="2"/>
    </row>
    <row r="319" spans="2:11">
      <c r="B319" s="9" t="s">
        <v>36</v>
      </c>
      <c r="C319" s="16">
        <v>319</v>
      </c>
      <c r="D319" s="16"/>
      <c r="E319" s="16">
        <v>268</v>
      </c>
      <c r="F319" s="16" t="s">
        <v>16</v>
      </c>
      <c r="G319" s="15">
        <v>1033</v>
      </c>
      <c r="H319" s="16">
        <v>161</v>
      </c>
      <c r="I319" s="15">
        <v>1781</v>
      </c>
      <c r="J319" s="2"/>
      <c r="K319" s="2"/>
    </row>
    <row r="320" spans="2:11" ht="16.5" thickBot="1">
      <c r="B320" s="19" t="s">
        <v>11</v>
      </c>
      <c r="C320" s="29">
        <v>42039</v>
      </c>
      <c r="D320" s="29"/>
      <c r="E320" s="29">
        <v>4186</v>
      </c>
      <c r="F320" s="13">
        <v>33</v>
      </c>
      <c r="G320" s="29">
        <v>10239</v>
      </c>
      <c r="H320" s="13">
        <v>693</v>
      </c>
      <c r="I320" s="29">
        <v>57191</v>
      </c>
      <c r="J320" s="2"/>
      <c r="K320" s="2"/>
    </row>
    <row r="321" spans="2:12">
      <c r="B321" s="87" t="s">
        <v>143</v>
      </c>
      <c r="C321" s="87"/>
      <c r="D321" s="87"/>
      <c r="E321" s="87"/>
      <c r="F321" s="87"/>
      <c r="G321" s="87"/>
      <c r="H321" s="87"/>
      <c r="I321" s="87"/>
      <c r="J321" s="2"/>
      <c r="K321" s="2"/>
    </row>
    <row r="322" spans="2:12">
      <c r="B322" s="9" t="s">
        <v>83</v>
      </c>
      <c r="C322" s="16">
        <v>308</v>
      </c>
      <c r="D322" s="16" t="s">
        <v>115</v>
      </c>
      <c r="E322" s="15">
        <v>2307</v>
      </c>
      <c r="F322" s="16">
        <v>435.34</v>
      </c>
      <c r="G322" s="15">
        <v>1234</v>
      </c>
      <c r="H322" s="16">
        <v>574.63</v>
      </c>
      <c r="I322" s="36">
        <v>9353.9699999999993</v>
      </c>
      <c r="J322" s="2"/>
      <c r="K322" s="2"/>
    </row>
    <row r="323" spans="2:12">
      <c r="B323" s="9" t="s">
        <v>43</v>
      </c>
      <c r="C323" s="16" t="s">
        <v>16</v>
      </c>
      <c r="D323" s="16"/>
      <c r="E323" s="16" t="s">
        <v>16</v>
      </c>
      <c r="F323" s="16">
        <v>57.31</v>
      </c>
      <c r="G323" s="16">
        <v>3772.82</v>
      </c>
      <c r="H323" s="36">
        <v>2260.2399999999998</v>
      </c>
      <c r="I323" s="36">
        <v>9920.5</v>
      </c>
      <c r="J323" s="2"/>
      <c r="K323" s="2"/>
    </row>
    <row r="324" spans="2:12">
      <c r="B324" s="9" t="s">
        <v>44</v>
      </c>
      <c r="C324" s="16" t="s">
        <v>16</v>
      </c>
      <c r="D324" s="16"/>
      <c r="E324" s="15">
        <v>151000</v>
      </c>
      <c r="F324" s="16" t="s">
        <v>16</v>
      </c>
      <c r="G324" s="16" t="s">
        <v>16</v>
      </c>
      <c r="H324" s="16" t="s">
        <v>16</v>
      </c>
      <c r="I324" s="15">
        <v>151000</v>
      </c>
      <c r="J324" s="2"/>
      <c r="K324" s="2"/>
    </row>
    <row r="325" spans="2:12" ht="16.5" thickBot="1">
      <c r="B325" s="27" t="s">
        <v>116</v>
      </c>
      <c r="C325" s="11">
        <v>47274</v>
      </c>
      <c r="D325" s="11"/>
      <c r="E325" s="11">
        <v>153307</v>
      </c>
      <c r="F325" s="37">
        <v>492.55</v>
      </c>
      <c r="G325" s="37">
        <v>8490.49</v>
      </c>
      <c r="H325" s="37">
        <v>338.87</v>
      </c>
      <c r="I325" s="38">
        <v>209902.91</v>
      </c>
      <c r="J325" s="2"/>
      <c r="K325" s="2"/>
    </row>
    <row r="326" spans="2:12">
      <c r="B326" s="7"/>
      <c r="C326" s="7"/>
      <c r="D326" s="2"/>
      <c r="E326" s="2"/>
      <c r="F326" s="2"/>
      <c r="G326" s="2"/>
      <c r="H326" s="2"/>
      <c r="I326" s="2"/>
      <c r="J326" s="2"/>
      <c r="K326" s="2"/>
    </row>
    <row r="327" spans="2:12" ht="21">
      <c r="B327" s="6" t="s">
        <v>45</v>
      </c>
      <c r="C327" s="6"/>
      <c r="D327" s="2"/>
      <c r="E327" s="2"/>
      <c r="F327" s="2"/>
      <c r="G327" s="2"/>
      <c r="H327" s="2"/>
      <c r="I327" s="2"/>
      <c r="J327" s="2"/>
    </row>
    <row r="328" spans="2:12">
      <c r="B328" s="7" t="s">
        <v>25</v>
      </c>
      <c r="C328" s="7"/>
      <c r="D328" s="2"/>
      <c r="E328" s="2"/>
      <c r="F328" s="2"/>
      <c r="G328" s="2"/>
      <c r="H328" s="2"/>
      <c r="I328" s="2"/>
      <c r="J328" s="2"/>
    </row>
    <row r="329" spans="2:12" ht="16.5" thickBot="1">
      <c r="B329" s="5"/>
      <c r="C329" s="5"/>
      <c r="D329" s="2"/>
      <c r="E329" s="2"/>
      <c r="F329" s="2"/>
      <c r="G329" s="2"/>
      <c r="H329" s="2"/>
      <c r="I329" s="2"/>
      <c r="J329" s="2"/>
    </row>
    <row r="330" spans="2:12">
      <c r="B330" s="87"/>
      <c r="C330" s="8" t="s">
        <v>332</v>
      </c>
      <c r="D330" s="216"/>
      <c r="E330" s="8" t="s">
        <v>105</v>
      </c>
      <c r="F330" s="8" t="s">
        <v>4</v>
      </c>
      <c r="G330" s="2"/>
      <c r="H330" s="2"/>
      <c r="I330" s="2"/>
      <c r="J330" s="2"/>
      <c r="K330" s="2"/>
      <c r="L330" s="2"/>
    </row>
    <row r="331" spans="2:12" ht="16.5" thickBot="1">
      <c r="B331" s="9" t="s">
        <v>46</v>
      </c>
      <c r="C331" s="63">
        <v>15690</v>
      </c>
      <c r="D331" s="9" t="s">
        <v>46</v>
      </c>
      <c r="E331" s="63">
        <v>13587</v>
      </c>
      <c r="F331" s="15">
        <v>17465</v>
      </c>
      <c r="G331" s="2"/>
      <c r="H331" s="2"/>
      <c r="I331" s="2"/>
      <c r="J331" s="2"/>
      <c r="K331" s="2"/>
      <c r="L331" s="2"/>
    </row>
    <row r="332" spans="2:12">
      <c r="B332" s="260" t="s">
        <v>73</v>
      </c>
      <c r="C332" s="261">
        <f>7533+1235</f>
        <v>8768</v>
      </c>
      <c r="D332" s="260" t="s">
        <v>73</v>
      </c>
      <c r="E332" s="261">
        <f>13402.8+28</f>
        <v>13430.8</v>
      </c>
      <c r="F332" s="12"/>
      <c r="G332" s="2"/>
      <c r="H332" s="2"/>
      <c r="I332" s="2"/>
      <c r="J332" s="2"/>
      <c r="K332" s="2"/>
      <c r="L332" s="2"/>
    </row>
    <row r="333" spans="2:12" ht="15.75" hidden="1">
      <c r="B333" s="19" t="s">
        <v>110</v>
      </c>
      <c r="C333" s="138">
        <f>SUM(C331:C332)</f>
        <v>24458</v>
      </c>
      <c r="D333" s="19" t="s">
        <v>110</v>
      </c>
      <c r="E333" s="138">
        <f>SUM(E331:E332)</f>
        <v>27017.8</v>
      </c>
      <c r="F333" s="10">
        <v>17465</v>
      </c>
      <c r="G333" s="2"/>
      <c r="H333" s="2"/>
      <c r="I333" s="2"/>
      <c r="J333" s="2"/>
      <c r="K333" s="2"/>
      <c r="L333" s="2"/>
    </row>
    <row r="334" spans="2:12" ht="15.75" hidden="1">
      <c r="B334" s="260"/>
      <c r="C334" s="261"/>
      <c r="D334" s="260"/>
      <c r="E334" s="261"/>
      <c r="F334" s="12"/>
      <c r="G334" s="2"/>
      <c r="H334" s="2"/>
      <c r="I334" s="2"/>
      <c r="J334" s="2"/>
      <c r="K334" s="2"/>
      <c r="L334" s="2"/>
    </row>
    <row r="335" spans="2:12" ht="16.5" thickBot="1">
      <c r="B335" s="27" t="s">
        <v>11</v>
      </c>
      <c r="C335" s="254">
        <f>SUM(C333:C334)</f>
        <v>24458</v>
      </c>
      <c r="D335" s="27" t="s">
        <v>11</v>
      </c>
      <c r="E335" s="11">
        <f>SUM(E333:E334)</f>
        <v>27017.8</v>
      </c>
      <c r="F335" s="11">
        <v>17465</v>
      </c>
      <c r="G335" s="60"/>
      <c r="H335" s="2"/>
      <c r="I335" s="2"/>
      <c r="J335" s="2"/>
      <c r="K335" s="2"/>
      <c r="L335" s="2"/>
    </row>
    <row r="336" spans="2:12">
      <c r="B336" s="5"/>
      <c r="C336" s="64"/>
      <c r="D336" s="2"/>
      <c r="E336" s="2"/>
      <c r="F336" s="2"/>
      <c r="G336" s="2"/>
      <c r="H336" s="2"/>
      <c r="I336" s="2"/>
      <c r="J336" s="2"/>
    </row>
    <row r="337" spans="2:10">
      <c r="B337" s="7"/>
      <c r="C337" s="7"/>
      <c r="D337" s="2"/>
      <c r="E337" s="2"/>
      <c r="F337" s="2"/>
      <c r="G337" s="2"/>
      <c r="H337" s="2"/>
      <c r="I337" s="2"/>
      <c r="J337" s="2"/>
    </row>
    <row r="338" spans="2:10">
      <c r="B338" s="5"/>
      <c r="C338" s="5"/>
      <c r="D338" s="2"/>
      <c r="E338" s="2"/>
      <c r="F338" s="2"/>
      <c r="G338" s="2"/>
      <c r="H338" s="2"/>
      <c r="I338" s="2"/>
      <c r="J338" s="2"/>
    </row>
    <row r="339" spans="2:10">
      <c r="B339" s="2"/>
      <c r="C339" s="2"/>
      <c r="D339" s="2"/>
      <c r="E339" s="2"/>
      <c r="F339" s="2"/>
      <c r="G339" s="2"/>
      <c r="H339" s="2"/>
      <c r="I339" s="2"/>
      <c r="J339" s="2"/>
    </row>
    <row r="340" spans="2:10">
      <c r="B340" s="2" t="s">
        <v>87</v>
      </c>
      <c r="C340" s="4"/>
      <c r="D340" s="2"/>
      <c r="E340" s="2"/>
      <c r="F340" s="2"/>
      <c r="G340" s="2"/>
      <c r="H340" s="2"/>
      <c r="I340" s="2"/>
      <c r="J340" s="2"/>
    </row>
    <row r="341" spans="2:10">
      <c r="B341" s="2" t="s">
        <v>88</v>
      </c>
      <c r="C341" s="4"/>
      <c r="D341" s="2"/>
      <c r="E341" s="2"/>
      <c r="F341" s="2"/>
      <c r="G341" s="2"/>
      <c r="H341" s="2"/>
      <c r="I341" s="2"/>
      <c r="J341" s="2"/>
    </row>
    <row r="342" spans="2:10">
      <c r="B342" s="2" t="s">
        <v>89</v>
      </c>
      <c r="C342" s="4"/>
      <c r="D342" s="2"/>
      <c r="E342" s="2"/>
      <c r="F342" s="2"/>
      <c r="G342" s="2"/>
      <c r="H342" s="2"/>
      <c r="I342" s="2"/>
      <c r="J342" s="2"/>
    </row>
    <row r="343" spans="2:10">
      <c r="B343" s="2" t="s">
        <v>106</v>
      </c>
      <c r="C343" s="4"/>
      <c r="D343" s="2"/>
      <c r="E343" s="2"/>
      <c r="F343" s="2"/>
      <c r="G343" s="2"/>
      <c r="H343" s="2"/>
      <c r="I343" s="2"/>
      <c r="J343" s="2"/>
    </row>
    <row r="344" spans="2:10">
      <c r="B344" s="2" t="s">
        <v>90</v>
      </c>
      <c r="C344" s="4"/>
      <c r="D344" s="2"/>
      <c r="E344" s="2"/>
      <c r="F344" s="2"/>
      <c r="G344" s="2"/>
      <c r="H344" s="2"/>
      <c r="I344" s="2"/>
      <c r="J344" s="2"/>
    </row>
    <row r="345" spans="2:10">
      <c r="B345" s="2" t="s">
        <v>91</v>
      </c>
      <c r="C345" s="4"/>
      <c r="D345" s="2"/>
      <c r="E345" s="2"/>
      <c r="F345" s="2"/>
      <c r="G345" s="2"/>
      <c r="H345" s="2"/>
      <c r="I345" s="2"/>
      <c r="J345" s="2"/>
    </row>
    <row r="346" spans="2:10">
      <c r="B346" s="2" t="s">
        <v>92</v>
      </c>
      <c r="C346" s="4"/>
      <c r="D346" s="2"/>
      <c r="E346" s="2"/>
      <c r="F346" s="2"/>
      <c r="G346" s="2"/>
      <c r="H346" s="2"/>
      <c r="I346" s="2"/>
      <c r="J346" s="2"/>
    </row>
    <row r="347" spans="2:10">
      <c r="B347" s="2" t="s">
        <v>93</v>
      </c>
      <c r="C347" s="4"/>
      <c r="D347" s="2"/>
      <c r="E347" s="2"/>
      <c r="F347" s="2"/>
      <c r="G347" s="2"/>
      <c r="H347" s="2"/>
      <c r="I347" s="2"/>
      <c r="J347" s="2"/>
    </row>
    <row r="348" spans="2:10">
      <c r="B348" s="2" t="s">
        <v>94</v>
      </c>
      <c r="C348" s="4"/>
      <c r="D348" s="2"/>
      <c r="E348" s="2"/>
      <c r="F348" s="2"/>
      <c r="G348" s="2"/>
      <c r="H348" s="2"/>
      <c r="I348" s="2"/>
      <c r="J348" s="2"/>
    </row>
    <row r="349" spans="2:10">
      <c r="B349" s="2" t="s">
        <v>95</v>
      </c>
      <c r="C349" s="4"/>
      <c r="D349" s="2"/>
      <c r="E349" s="2"/>
      <c r="F349" s="2"/>
      <c r="G349" s="2"/>
      <c r="H349" s="2"/>
      <c r="I349" s="2"/>
      <c r="J349" s="2"/>
    </row>
    <row r="350" spans="2:10">
      <c r="B350" s="2" t="s">
        <v>96</v>
      </c>
      <c r="C350" s="4"/>
      <c r="D350" s="2"/>
      <c r="E350" s="2"/>
      <c r="F350" s="2"/>
      <c r="G350" s="2"/>
      <c r="H350" s="2"/>
      <c r="I350" s="2"/>
      <c r="J350" s="2"/>
    </row>
    <row r="351" spans="2:10">
      <c r="B351" s="2" t="s">
        <v>97</v>
      </c>
      <c r="C351" s="4"/>
      <c r="D351" s="2"/>
      <c r="E351" s="2"/>
      <c r="F351" s="2"/>
      <c r="G351" s="2"/>
      <c r="H351" s="2"/>
      <c r="I351" s="2"/>
      <c r="J351" s="2"/>
    </row>
    <row r="352" spans="2:10">
      <c r="B352" s="2" t="s">
        <v>98</v>
      </c>
      <c r="C352" s="4"/>
      <c r="D352" s="2"/>
      <c r="E352" s="2"/>
      <c r="F352" s="2"/>
      <c r="G352" s="2"/>
      <c r="H352" s="2"/>
      <c r="I352" s="2"/>
    </row>
    <row r="353" spans="2:9">
      <c r="B353" s="2" t="s">
        <v>141</v>
      </c>
      <c r="C353" s="4"/>
      <c r="D353" s="2"/>
      <c r="E353" s="2"/>
      <c r="F353" s="2"/>
      <c r="G353" s="2"/>
      <c r="H353" s="2"/>
      <c r="I353" s="2"/>
    </row>
    <row r="354" spans="2:9">
      <c r="B354" s="2" t="s">
        <v>99</v>
      </c>
      <c r="C354" s="51"/>
      <c r="D354" s="2"/>
      <c r="E354" s="2"/>
      <c r="F354" s="2"/>
      <c r="G354" s="2"/>
      <c r="H354" s="2"/>
      <c r="I354" s="2"/>
    </row>
    <row r="355" spans="2:9">
      <c r="B355" s="2" t="s">
        <v>100</v>
      </c>
      <c r="C355" s="2"/>
      <c r="D355" s="2"/>
      <c r="E355" s="2"/>
      <c r="F355" s="2"/>
      <c r="G355" s="2"/>
      <c r="H355" s="2"/>
      <c r="I355" s="2"/>
    </row>
    <row r="356" spans="2:9">
      <c r="B356" s="2" t="s">
        <v>101</v>
      </c>
      <c r="C356" s="2"/>
      <c r="D356" s="2"/>
      <c r="E356" s="2"/>
      <c r="F356" s="2"/>
      <c r="G356" s="2"/>
      <c r="H356" s="2"/>
      <c r="I356" s="2"/>
    </row>
    <row r="357" spans="2:9">
      <c r="B357" s="2" t="s">
        <v>102</v>
      </c>
      <c r="C357" s="2"/>
      <c r="D357" s="2"/>
      <c r="E357" s="2"/>
      <c r="F357" s="2"/>
      <c r="G357" s="2"/>
      <c r="H357" s="2"/>
      <c r="I357" s="2"/>
    </row>
    <row r="358" spans="2:9">
      <c r="B358" s="2" t="s">
        <v>103</v>
      </c>
      <c r="C358" s="2"/>
      <c r="D358" s="2"/>
      <c r="E358" s="2"/>
      <c r="F358" s="2"/>
      <c r="G358" s="2"/>
      <c r="H358" s="2"/>
      <c r="I358" s="2"/>
    </row>
    <row r="359" spans="2:9">
      <c r="B359" s="2" t="s">
        <v>104</v>
      </c>
      <c r="C359" s="2"/>
      <c r="D359" s="2"/>
      <c r="E359" s="2"/>
      <c r="F359" s="2"/>
      <c r="G359" s="2"/>
      <c r="H359" s="2"/>
      <c r="I359" s="2"/>
    </row>
    <row r="360" spans="2:9">
      <c r="B360" s="57" t="s">
        <v>109</v>
      </c>
    </row>
    <row r="361" spans="2:9">
      <c r="B361" s="57" t="s">
        <v>127</v>
      </c>
    </row>
    <row r="362" spans="2:9">
      <c r="B362" s="57" t="s">
        <v>318</v>
      </c>
    </row>
    <row r="363" spans="2:9">
      <c r="B363" s="57" t="s">
        <v>356</v>
      </c>
    </row>
  </sheetData>
  <mergeCells count="38">
    <mergeCell ref="H222:I222"/>
    <mergeCell ref="B306:C306"/>
    <mergeCell ref="B263:C263"/>
    <mergeCell ref="B269:C269"/>
    <mergeCell ref="B274:C274"/>
    <mergeCell ref="B279:C279"/>
    <mergeCell ref="G289:G290"/>
    <mergeCell ref="B222:B223"/>
    <mergeCell ref="C222:C223"/>
    <mergeCell ref="D222:E222"/>
    <mergeCell ref="F222:G222"/>
    <mergeCell ref="B159:B160"/>
    <mergeCell ref="C159:C160"/>
    <mergeCell ref="D159:E159"/>
    <mergeCell ref="G58:I58"/>
    <mergeCell ref="G59:I59"/>
    <mergeCell ref="G60:I60"/>
    <mergeCell ref="G61:I61"/>
    <mergeCell ref="G62:I62"/>
    <mergeCell ref="F159:G159"/>
    <mergeCell ref="H159:I159"/>
    <mergeCell ref="G56:I56"/>
    <mergeCell ref="G57:I57"/>
    <mergeCell ref="G44:I44"/>
    <mergeCell ref="G45:I45"/>
    <mergeCell ref="G46:I46"/>
    <mergeCell ref="G52:I52"/>
    <mergeCell ref="G53:I53"/>
    <mergeCell ref="G47:I47"/>
    <mergeCell ref="G48:I48"/>
    <mergeCell ref="G49:I49"/>
    <mergeCell ref="G50:I50"/>
    <mergeCell ref="G51:I51"/>
    <mergeCell ref="G40:I40"/>
    <mergeCell ref="G41:I41"/>
    <mergeCell ref="G42:I42"/>
    <mergeCell ref="G54:I54"/>
    <mergeCell ref="G55:I55"/>
  </mergeCells>
  <phoneticPr fontId="32" type="noConversion"/>
  <hyperlinks>
    <hyperlink ref="B6" r:id="rId1"/>
    <hyperlink ref="B321" location="_ftn1" display="FY13[1]"/>
    <hyperlink ref="D322" location="_ftn2" display="47,274[2]"/>
    <hyperlink ref="B325" location="_ftn3" display="Total[3]"/>
    <hyperlink ref="B133" location="_ftn4" display="Kilotonnes (kt) of CO2-e [4] (Scope 1 and 2)"/>
    <hyperlink ref="J135" location="_ftn5" display="FY13 [5]"/>
    <hyperlink ref="H137" location="_ftn6" display="126.62[6]"/>
    <hyperlink ref="J145" location="_ftn7" display="FY13[7]"/>
    <hyperlink ref="C230" location="_ftn8" display="Pallets – outsourced service centres [8]"/>
    <hyperlink ref="C195" location="_ftn11" display="Pallets Americas[11] "/>
    <hyperlink ref="C197" location="_ftn12" display="Pallets Asia-Pacific[12]"/>
    <hyperlink ref="C203" location="_ftn13" display="Pallets Americas [13]"/>
    <hyperlink ref="B340" location="_ftnref1" display="[1] Excludes most of the Containers businesses, the pallet businesses of IFCO PMS and Paramount Pallet as well as very small CHEP pallet sites and offices. "/>
    <hyperlink ref="B341" location="_ftnref2" display="[2] Wood numbers incorrect for FY13 and updated in this document.  Previously reported as 187,950."/>
    <hyperlink ref="B342" location="_ftnref3" display="[3] Updated with actual data. Previously reported included a number of extrapolations"/>
    <hyperlink ref="B343" location="_ftnref4" display="[4] Carbon dioxide equivalent (CO2-e) is the universal unit of measurement to indicate the full global warming potential (GWP) of a particular greenhouse gas emission. It takes into account the GWP of each of the six Kyoto greenhouse gases, and expresses "/>
    <hyperlink ref="B344" location="_ftnref5" display="[5] Excludes Containers businesses with the exception of CHEP Automotive and CCC, as well as very small CHEP Pallet sites and offices. Has been updated with actual data in FY14."/>
    <hyperlink ref="B345" location="_ftnref6" display="[6] Includes CHEP, IFCO PMS, Lean Logistics and Paramount. Previous years included only CHEP"/>
    <hyperlink ref="B346" location="_ftnref7" display="[7] Has been updated with actual data in FY14"/>
    <hyperlink ref="B347" location="_ftnref8" display="[8] Estimate of CO2-e generated/energy used by leased and outsourced service centre sites that inspect and repair CHEP pallets."/>
    <hyperlink ref="B348" location="_ftnref9" display="[9] Estimate of CO2-e generated/energy used by subcontracted transport carriers that move CHEP pallets through the network."/>
    <hyperlink ref="B349" location="_ftnref10" display="[10] Includes sites that handle and condition CHEP RPCs and Containers. Retained to provide like-for-like comparatives to CHEP’s reported energy and emissions in FY11. In FY13, sites will be extracted and included in RPCs and Containers segments."/>
    <hyperlink ref="B350" location="_ftnref11" display="[11] Includes CHEP, IFCO PMS, Lean Logistics &amp; Paramount"/>
    <hyperlink ref="B351" location="_ftnref12" display="[12] Includes CHEP pallet sites only. CHEP ANZ RPC sites captured in RPCs"/>
    <hyperlink ref="B352" location="_ftnref13" display="[13] Excludes IFCO PMS and Paramount Pallet sites, includes CCC sites."/>
    <hyperlink ref="B353" location="_ftnref14" display="[14] ‘C-gen’ stands for C generation stock. ‘A’ generation stock is stock awaiting inspection, ‘B’ generation stock is that which is waiting to be conditioned or repaired and ‘C’ generation (C-gen) stock has been conditioned and is ready for a customer."/>
    <hyperlink ref="F257" location="_ftn5" display="FY13 [5]"/>
    <hyperlink ref="C236" location="_ftn8" display="Pallets – outsourced service centres [8]"/>
    <hyperlink ref="C242" location="_ftn8" display="Pallets – outsourced service centres [8]"/>
    <hyperlink ref="C245" location="_ftn8" display="Pallets – outsourced service centres [8]"/>
    <hyperlink ref="F251" location="_ftn5" display="FY13 [5]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50" zoomScaleNormal="150" zoomScalePageLayoutView="150" workbookViewId="0">
      <selection activeCell="C2" sqref="C2"/>
    </sheetView>
  </sheetViews>
  <sheetFormatPr baseColWidth="10" defaultColWidth="11" defaultRowHeight="15" x14ac:dyDescent="0"/>
  <cols>
    <col min="1" max="1" width="3.6640625" customWidth="1"/>
    <col min="3" max="3" width="13.33203125" customWidth="1"/>
    <col min="4" max="4" width="14.83203125" customWidth="1"/>
    <col min="5" max="5" width="14.1640625" customWidth="1"/>
    <col min="6" max="6" width="14.6640625" customWidth="1"/>
    <col min="7" max="7" width="13" customWidth="1"/>
    <col min="8" max="8" width="12.33203125" customWidth="1"/>
    <col min="9" max="9" width="12.83203125" customWidth="1"/>
    <col min="10" max="10" width="12.33203125" customWidth="1"/>
  </cols>
  <sheetData>
    <row r="1" spans="1:10">
      <c r="B1" s="139" t="s">
        <v>0</v>
      </c>
      <c r="C1" s="139"/>
      <c r="D1" s="139"/>
      <c r="E1" s="139"/>
    </row>
    <row r="2" spans="1:10">
      <c r="B2" s="139" t="s">
        <v>333</v>
      </c>
      <c r="C2" s="139"/>
      <c r="D2" s="139"/>
      <c r="E2" s="139"/>
    </row>
    <row r="3" spans="1:10">
      <c r="B3" s="139"/>
      <c r="C3" s="139"/>
      <c r="D3" s="139"/>
      <c r="E3" s="139"/>
    </row>
    <row r="4" spans="1:10" ht="23.25">
      <c r="B4" s="3" t="s">
        <v>312</v>
      </c>
    </row>
    <row r="5" spans="1:10" ht="18.75">
      <c r="A5" s="140"/>
      <c r="B5" s="4" t="s">
        <v>2</v>
      </c>
      <c r="C5" s="140"/>
      <c r="D5" s="140"/>
    </row>
    <row r="6" spans="1:10">
      <c r="B6" s="4"/>
      <c r="C6" s="4"/>
      <c r="D6" s="4"/>
    </row>
    <row r="7" spans="1:10" ht="18.75" thickBot="1">
      <c r="B7" s="157" t="s">
        <v>304</v>
      </c>
      <c r="C7" s="157"/>
      <c r="D7" s="157"/>
    </row>
    <row r="8" spans="1:10">
      <c r="B8" s="87"/>
      <c r="C8" s="8" t="s">
        <v>332</v>
      </c>
      <c r="D8" s="8" t="s">
        <v>105</v>
      </c>
      <c r="E8" s="8" t="s">
        <v>4</v>
      </c>
      <c r="F8" s="8" t="s">
        <v>5</v>
      </c>
      <c r="G8" s="8" t="s">
        <v>6</v>
      </c>
    </row>
    <row r="9" spans="1:10">
      <c r="B9" s="19" t="s">
        <v>11</v>
      </c>
      <c r="C9" s="175">
        <f>SUM(C11:C13)</f>
        <v>4541137.49</v>
      </c>
      <c r="D9" s="175">
        <v>3040000</v>
      </c>
      <c r="E9" s="175">
        <v>2420000</v>
      </c>
      <c r="F9" s="175">
        <v>2160000</v>
      </c>
      <c r="G9" s="175">
        <v>2049000</v>
      </c>
    </row>
    <row r="10" spans="1:10" ht="32.25">
      <c r="B10" s="9" t="s">
        <v>305</v>
      </c>
      <c r="C10" s="174">
        <f>C9/C21</f>
        <v>6.7506131856696896E-3</v>
      </c>
      <c r="D10" s="174">
        <f>D9/D21</f>
        <v>3.7947821745100488E-3</v>
      </c>
      <c r="E10" s="174">
        <f>E9/E21</f>
        <v>2.9160139775876613E-3</v>
      </c>
      <c r="F10" s="174">
        <f>F9/F21</f>
        <v>2.6454378444580526E-3</v>
      </c>
      <c r="G10" s="174">
        <f>G9/G21</f>
        <v>2.6394435141053716E-3</v>
      </c>
    </row>
    <row r="11" spans="1:10" ht="60">
      <c r="B11" s="9" t="s">
        <v>306</v>
      </c>
      <c r="C11" s="257">
        <v>1248719.22</v>
      </c>
      <c r="D11" s="176">
        <v>1115743</v>
      </c>
      <c r="E11" s="176">
        <v>680000</v>
      </c>
      <c r="F11" s="176">
        <v>640000</v>
      </c>
      <c r="G11" s="176">
        <v>987000</v>
      </c>
    </row>
    <row r="12" spans="1:10" ht="30">
      <c r="B12" s="9" t="s">
        <v>307</v>
      </c>
      <c r="C12" s="257">
        <v>2868418.27</v>
      </c>
      <c r="D12" s="176">
        <v>1540543</v>
      </c>
      <c r="E12" s="176">
        <v>1450000</v>
      </c>
      <c r="F12" s="176">
        <v>1390000</v>
      </c>
      <c r="G12" s="176">
        <v>952000</v>
      </c>
    </row>
    <row r="13" spans="1:10" ht="16.5" thickBot="1">
      <c r="B13" s="24" t="s">
        <v>308</v>
      </c>
      <c r="C13" s="177">
        <v>424000</v>
      </c>
      <c r="D13" s="177">
        <v>400000</v>
      </c>
      <c r="E13" s="177">
        <v>290000</v>
      </c>
      <c r="F13" s="177">
        <v>130000</v>
      </c>
      <c r="G13" s="177">
        <v>110000</v>
      </c>
      <c r="H13" s="112"/>
    </row>
    <row r="14" spans="1:10">
      <c r="B14" s="141"/>
      <c r="C14" s="141"/>
      <c r="D14" s="141"/>
      <c r="E14" s="143"/>
      <c r="F14" s="143"/>
      <c r="J14" s="112"/>
    </row>
    <row r="15" spans="1:10" ht="18.75" thickBot="1">
      <c r="B15" s="157" t="s">
        <v>309</v>
      </c>
      <c r="C15" s="157"/>
      <c r="D15" s="157"/>
      <c r="E15" s="143"/>
      <c r="F15" s="143"/>
    </row>
    <row r="16" spans="1:10">
      <c r="B16" s="87"/>
      <c r="C16" s="8" t="s">
        <v>332</v>
      </c>
      <c r="D16" s="8" t="s">
        <v>105</v>
      </c>
      <c r="E16" s="8" t="s">
        <v>4</v>
      </c>
      <c r="F16" s="8" t="s">
        <v>5</v>
      </c>
      <c r="G16" s="8" t="s">
        <v>6</v>
      </c>
    </row>
    <row r="17" spans="2:8">
      <c r="B17" s="9" t="s">
        <v>266</v>
      </c>
      <c r="C17" s="36">
        <v>1.25</v>
      </c>
      <c r="D17" s="36">
        <v>1.1499999999999999</v>
      </c>
      <c r="E17" s="36">
        <v>0.92</v>
      </c>
      <c r="F17" s="36">
        <v>0.83</v>
      </c>
      <c r="G17" s="36">
        <v>0.22</v>
      </c>
    </row>
    <row r="18" spans="2:8" ht="16.5" thickBot="1">
      <c r="B18" s="27" t="s">
        <v>310</v>
      </c>
      <c r="C18" s="11">
        <v>17221</v>
      </c>
      <c r="D18" s="11">
        <v>17214.650000000001</v>
      </c>
      <c r="E18" s="11">
        <v>12500</v>
      </c>
      <c r="F18" s="11">
        <v>11461</v>
      </c>
      <c r="G18" s="11">
        <v>3843</v>
      </c>
    </row>
    <row r="19" spans="2:8">
      <c r="B19" s="141"/>
      <c r="C19" s="141"/>
      <c r="D19" s="141"/>
    </row>
    <row r="20" spans="2:8" ht="18">
      <c r="B20" s="158" t="s">
        <v>311</v>
      </c>
    </row>
    <row r="21" spans="2:8">
      <c r="C21" s="159">
        <v>672700000</v>
      </c>
      <c r="D21" s="159">
        <v>801100000</v>
      </c>
      <c r="E21" s="159">
        <v>829900000</v>
      </c>
      <c r="F21" s="159">
        <v>816500000</v>
      </c>
      <c r="G21" s="159">
        <v>776300000</v>
      </c>
      <c r="H21" s="159"/>
    </row>
  </sheetData>
  <hyperlinks>
    <hyperlink ref="B5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562A94314EF2438724DE0251ADB74B" ma:contentTypeVersion="" ma:contentTypeDescription="Create a new document." ma:contentTypeScope="" ma:versionID="36073287dcc2afd6cbe90636d05378f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eb65263749c58a5f36072332b41d7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DE3C90-3FE5-4935-B6A0-F3F756130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EAAF9-9874-4133-AD1C-B0D31B8AE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680317-E6EC-492D-80D5-811EAC7258C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Better Business</vt:lpstr>
      <vt:lpstr>Better Planet</vt:lpstr>
      <vt:lpstr>Better Communities</vt:lpstr>
    </vt:vector>
  </TitlesOfParts>
  <Company>Jennifer Lorance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Lorance</dc:creator>
  <cp:lastModifiedBy>Jennifer Lorance</cp:lastModifiedBy>
  <cp:lastPrinted>2016-11-07T01:56:57Z</cp:lastPrinted>
  <dcterms:created xsi:type="dcterms:W3CDTF">2016-09-12T01:46:21Z</dcterms:created>
  <dcterms:modified xsi:type="dcterms:W3CDTF">2017-09-27T02:15:45Z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0x01010032562A94314EF2438724DE0251ADB74B</vt:lpwstr>
  </property>
</Properties>
</file>